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39cddf5216acb62b/Skrivebord/Fluxonium/"/>
    </mc:Choice>
  </mc:AlternateContent>
  <xr:revisionPtr revIDLastSave="16" documentId="13_ncr:1_{96B756A5-A63A-428A-9AC7-F491943873E0}" xr6:coauthVersionLast="47" xr6:coauthVersionMax="47" xr10:uidLastSave="{AA156E44-1D7D-44F7-915A-214113A3435B}"/>
  <bookViews>
    <workbookView xWindow="-120" yWindow="-120" windowWidth="51840" windowHeight="21840" xr2:uid="{229A6437-FB12-4D21-99C2-EED8ADE2EA65}"/>
  </bookViews>
  <sheets>
    <sheet name="Hour_count" sheetId="1" r:id="rId1"/>
    <sheet name="References(theory)" sheetId="3" r:id="rId2"/>
    <sheet name="Experimental" sheetId="2" r:id="rId3"/>
    <sheet name="Theoretical" sheetId="4" r:id="rId4"/>
    <sheet name="Different qubits" sheetId="6" r:id="rId5"/>
    <sheet name="Graph of Fluxonium" sheetId="7" r:id="rId6"/>
    <sheet name="Material properties" sheetId="8" r:id="rId7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12" i="1" l="1"/>
  <c r="W11" i="1"/>
  <c r="U11" i="1"/>
  <c r="S13" i="1"/>
  <c r="R12" i="1"/>
  <c r="Q12" i="1"/>
  <c r="T11" i="1"/>
  <c r="S11" i="1"/>
  <c r="T24" i="1"/>
  <c r="S24" i="1"/>
  <c r="Q24" i="1"/>
  <c r="X24" i="1" s="1"/>
  <c r="Z24" i="1" s="1"/>
  <c r="AA24" i="1" s="1"/>
  <c r="X23" i="1"/>
  <c r="Z23" i="1" s="1"/>
  <c r="AA23" i="1" s="1"/>
  <c r="W23" i="1"/>
  <c r="U23" i="1"/>
  <c r="T23" i="1"/>
  <c r="S23" i="1"/>
  <c r="Q23" i="1"/>
  <c r="W22" i="1"/>
  <c r="U22" i="1"/>
  <c r="T22" i="1"/>
  <c r="S22" i="1"/>
  <c r="Q22" i="1"/>
  <c r="X22" i="1" s="1"/>
  <c r="Z22" i="1" s="1"/>
  <c r="AA22" i="1" s="1"/>
  <c r="W21" i="1"/>
  <c r="U21" i="1"/>
  <c r="T21" i="1"/>
  <c r="S21" i="1"/>
  <c r="Q21" i="1"/>
  <c r="X21" i="1" s="1"/>
  <c r="Z21" i="1" s="1"/>
  <c r="AA21" i="1" s="1"/>
  <c r="X32" i="1"/>
  <c r="W26" i="1"/>
  <c r="U26" i="1"/>
  <c r="T26" i="1"/>
  <c r="S26" i="1"/>
  <c r="Q26" i="1"/>
  <c r="X26" i="1" s="1"/>
  <c r="Z26" i="1" s="1"/>
  <c r="X40" i="1"/>
  <c r="X42" i="1"/>
  <c r="Q41" i="1"/>
  <c r="W59" i="1"/>
  <c r="V59" i="1"/>
  <c r="U59" i="1"/>
  <c r="T59" i="1"/>
  <c r="R59" i="1"/>
  <c r="Q59" i="1"/>
  <c r="Q60" i="1"/>
  <c r="R60" i="1"/>
  <c r="S60" i="1"/>
  <c r="S59" i="1"/>
  <c r="X59" i="1"/>
  <c r="Z59" i="1" s="1"/>
  <c r="W58" i="1"/>
  <c r="U58" i="1"/>
  <c r="T58" i="1"/>
  <c r="S58" i="1"/>
  <c r="Q58" i="1"/>
  <c r="X58" i="1" s="1"/>
  <c r="Z58" i="1" s="1"/>
  <c r="W57" i="1"/>
  <c r="U57" i="1"/>
  <c r="T57" i="1"/>
  <c r="S57" i="1"/>
  <c r="Q57" i="1"/>
  <c r="X57" i="1" s="1"/>
  <c r="Z57" i="1" s="1"/>
  <c r="W56" i="1"/>
  <c r="U56" i="1"/>
  <c r="T56" i="1"/>
  <c r="S56" i="1"/>
  <c r="Q56" i="1"/>
  <c r="X56" i="1" s="1"/>
  <c r="Z56" i="1" s="1"/>
  <c r="W55" i="1"/>
  <c r="U55" i="1"/>
  <c r="T55" i="1"/>
  <c r="S55" i="1"/>
  <c r="Q55" i="1"/>
  <c r="X55" i="1" s="1"/>
  <c r="Z55" i="1" s="1"/>
  <c r="W54" i="1"/>
  <c r="U54" i="1"/>
  <c r="T54" i="1"/>
  <c r="S54" i="1"/>
  <c r="Q54" i="1"/>
  <c r="X54" i="1" s="1"/>
  <c r="Z54" i="1" s="1"/>
  <c r="W53" i="1"/>
  <c r="U53" i="1"/>
  <c r="T53" i="1"/>
  <c r="S53" i="1"/>
  <c r="Q53" i="1"/>
  <c r="X53" i="1" s="1"/>
  <c r="Z53" i="1" s="1"/>
  <c r="W52" i="1"/>
  <c r="U52" i="1"/>
  <c r="T52" i="1"/>
  <c r="S52" i="1"/>
  <c r="Q52" i="1"/>
  <c r="X52" i="1" s="1"/>
  <c r="Z52" i="1" s="1"/>
  <c r="X62" i="1"/>
  <c r="X46" i="1"/>
  <c r="Z46" i="1" s="1"/>
  <c r="W45" i="1"/>
  <c r="U45" i="1"/>
  <c r="T45" i="1"/>
  <c r="S45" i="1"/>
  <c r="X45" i="1" s="1"/>
  <c r="Z45" i="1" s="1"/>
  <c r="Q45" i="1"/>
  <c r="W44" i="1"/>
  <c r="U44" i="1"/>
  <c r="T44" i="1"/>
  <c r="S44" i="1"/>
  <c r="Q44" i="1"/>
  <c r="W43" i="1"/>
  <c r="U43" i="1"/>
  <c r="T43" i="1"/>
  <c r="S43" i="1"/>
  <c r="Q43" i="1"/>
  <c r="Z42" i="1"/>
  <c r="W41" i="1"/>
  <c r="U41" i="1"/>
  <c r="T41" i="1"/>
  <c r="S41" i="1"/>
  <c r="W42" i="1"/>
  <c r="U42" i="1"/>
  <c r="T42" i="1"/>
  <c r="S42" i="1"/>
  <c r="Q42" i="1"/>
  <c r="W39" i="1"/>
  <c r="U39" i="1"/>
  <c r="T39" i="1"/>
  <c r="S39" i="1"/>
  <c r="Q39" i="1"/>
  <c r="W38" i="1"/>
  <c r="U38" i="1"/>
  <c r="T38" i="1"/>
  <c r="S38" i="1"/>
  <c r="Q38" i="1"/>
  <c r="W37" i="1"/>
  <c r="U37" i="1"/>
  <c r="T37" i="1"/>
  <c r="S37" i="1"/>
  <c r="Q37" i="1"/>
  <c r="W36" i="1"/>
  <c r="U36" i="1"/>
  <c r="T36" i="1"/>
  <c r="S36" i="1"/>
  <c r="Q36" i="1"/>
  <c r="W29" i="1"/>
  <c r="W28" i="1"/>
  <c r="W27" i="1"/>
  <c r="W20" i="1"/>
  <c r="T29" i="1"/>
  <c r="T28" i="1"/>
  <c r="T27" i="1"/>
  <c r="T20" i="1"/>
  <c r="Q27" i="1"/>
  <c r="Q28" i="1"/>
  <c r="Q29" i="1"/>
  <c r="Q20" i="1"/>
  <c r="U29" i="1"/>
  <c r="S29" i="1"/>
  <c r="X14" i="1"/>
  <c r="Z14" i="1" s="1"/>
  <c r="X16" i="1"/>
  <c r="Q11" i="1"/>
  <c r="U10" i="1"/>
  <c r="W10" i="1"/>
  <c r="T10" i="1"/>
  <c r="S10" i="1"/>
  <c r="Q10" i="1"/>
  <c r="T9" i="1"/>
  <c r="T13" i="1"/>
  <c r="T8" i="1"/>
  <c r="T7" i="1"/>
  <c r="S7" i="1"/>
  <c r="Q7" i="1"/>
  <c r="W6" i="1"/>
  <c r="T6" i="1"/>
  <c r="S6" i="1"/>
  <c r="W5" i="1"/>
  <c r="R6" i="1"/>
  <c r="V5" i="1"/>
  <c r="U5" i="1"/>
  <c r="Q5" i="1"/>
  <c r="Q6" i="1"/>
  <c r="Q8" i="1"/>
  <c r="Q9" i="1"/>
  <c r="Q13" i="1"/>
  <c r="Q4" i="1"/>
  <c r="F58" i="1"/>
  <c r="G56" i="1"/>
  <c r="D56" i="1"/>
  <c r="I54" i="1"/>
  <c r="H54" i="1"/>
  <c r="U28" i="1"/>
  <c r="S28" i="1"/>
  <c r="U27" i="1"/>
  <c r="S27" i="1"/>
  <c r="U20" i="1"/>
  <c r="S20" i="1"/>
  <c r="D54" i="1"/>
  <c r="C58" i="1"/>
  <c r="E58" i="1"/>
  <c r="G58" i="1"/>
  <c r="J57" i="1"/>
  <c r="L57" i="1" s="1"/>
  <c r="J60" i="1"/>
  <c r="G53" i="1"/>
  <c r="F53" i="1"/>
  <c r="E53" i="1"/>
  <c r="S8" i="1"/>
  <c r="S9" i="1"/>
  <c r="S4" i="1"/>
  <c r="AF53" i="1"/>
  <c r="AF54" i="1"/>
  <c r="AF52" i="1"/>
  <c r="F54" i="1"/>
  <c r="F55" i="1"/>
  <c r="F56" i="1"/>
  <c r="E54" i="1"/>
  <c r="E55" i="1"/>
  <c r="C55" i="1"/>
  <c r="C56" i="1"/>
  <c r="G55" i="1"/>
  <c r="G52" i="1"/>
  <c r="F52" i="1"/>
  <c r="E52" i="1"/>
  <c r="F43" i="1"/>
  <c r="H43" i="1"/>
  <c r="C44" i="1"/>
  <c r="D44" i="1"/>
  <c r="E44" i="1"/>
  <c r="G44" i="1"/>
  <c r="F44" i="1"/>
  <c r="AD3" i="1"/>
  <c r="AD4" i="1" s="1"/>
  <c r="AD6" i="1" s="1"/>
  <c r="J31" i="1"/>
  <c r="H42" i="1"/>
  <c r="G42" i="1"/>
  <c r="D41" i="1"/>
  <c r="C41" i="1"/>
  <c r="D40" i="1"/>
  <c r="G39" i="1"/>
  <c r="F39" i="1"/>
  <c r="E39" i="1"/>
  <c r="D39" i="1"/>
  <c r="H38" i="1"/>
  <c r="H37" i="1"/>
  <c r="G37" i="1"/>
  <c r="E37" i="1"/>
  <c r="D37" i="1"/>
  <c r="C37" i="1"/>
  <c r="H36" i="1"/>
  <c r="G36" i="1"/>
  <c r="F36" i="1"/>
  <c r="E36" i="1"/>
  <c r="D36" i="1"/>
  <c r="C36" i="1"/>
  <c r="D28" i="1"/>
  <c r="G28" i="1"/>
  <c r="E28" i="1"/>
  <c r="C28" i="1"/>
  <c r="G27" i="1"/>
  <c r="E27" i="1"/>
  <c r="F27" i="1"/>
  <c r="F26" i="1"/>
  <c r="C27" i="1"/>
  <c r="D27" i="1"/>
  <c r="C38" i="1"/>
  <c r="C39" i="1"/>
  <c r="C40" i="1"/>
  <c r="C42" i="1"/>
  <c r="C43" i="1"/>
  <c r="D38" i="1"/>
  <c r="D43" i="1"/>
  <c r="E38" i="1"/>
  <c r="E40" i="1"/>
  <c r="E41" i="1"/>
  <c r="E43" i="1"/>
  <c r="G38" i="1"/>
  <c r="G40" i="1"/>
  <c r="G41" i="1"/>
  <c r="G43" i="1"/>
  <c r="I26" i="1"/>
  <c r="H40" i="1"/>
  <c r="H41" i="1"/>
  <c r="H26" i="1"/>
  <c r="J20" i="1"/>
  <c r="L20" i="1" s="1"/>
  <c r="M20" i="1" s="1"/>
  <c r="X48" i="1"/>
  <c r="X30" i="1"/>
  <c r="Z30" i="1" s="1"/>
  <c r="J47" i="1"/>
  <c r="E24" i="1"/>
  <c r="J24" i="1" s="1"/>
  <c r="L24" i="1" s="1"/>
  <c r="H10" i="1"/>
  <c r="G10" i="1"/>
  <c r="F10" i="1"/>
  <c r="E10" i="1"/>
  <c r="C10" i="1"/>
  <c r="D10" i="1"/>
  <c r="F9" i="1"/>
  <c r="D9" i="1"/>
  <c r="C9" i="1"/>
  <c r="E9" i="1"/>
  <c r="K5" i="1"/>
  <c r="K6" i="1"/>
  <c r="K7" i="1"/>
  <c r="K8" i="1"/>
  <c r="K9" i="1"/>
  <c r="K10" i="1"/>
  <c r="K11" i="1"/>
  <c r="K12" i="1"/>
  <c r="K4" i="1"/>
  <c r="F5" i="1"/>
  <c r="F6" i="1"/>
  <c r="F7" i="1"/>
  <c r="F8" i="1"/>
  <c r="E5" i="1"/>
  <c r="E6" i="1"/>
  <c r="E7" i="1"/>
  <c r="E8" i="1"/>
  <c r="J4" i="1"/>
  <c r="D5" i="1"/>
  <c r="D6" i="1"/>
  <c r="D7" i="1"/>
  <c r="D8" i="1"/>
  <c r="C5" i="1"/>
  <c r="C6" i="1"/>
  <c r="C7" i="1"/>
  <c r="C8" i="1"/>
  <c r="J25" i="1"/>
  <c r="L25" i="1" s="1"/>
  <c r="J23" i="1"/>
  <c r="L23" i="1" s="1"/>
  <c r="J12" i="1"/>
  <c r="J22" i="1"/>
  <c r="L22" i="1" s="1"/>
  <c r="J21" i="1"/>
  <c r="L21" i="1" s="1"/>
  <c r="J11" i="1"/>
  <c r="X60" i="1" l="1"/>
  <c r="Z60" i="1" s="1"/>
  <c r="AA60" i="1"/>
  <c r="AA59" i="1"/>
  <c r="AA58" i="1"/>
  <c r="AA57" i="1"/>
  <c r="AA56" i="1"/>
  <c r="AA55" i="1"/>
  <c r="AA54" i="1"/>
  <c r="AA53" i="1"/>
  <c r="AA52" i="1"/>
  <c r="X28" i="1"/>
  <c r="Z28" i="1" s="1"/>
  <c r="X44" i="1"/>
  <c r="Z44" i="1" s="1"/>
  <c r="X36" i="1"/>
  <c r="Z36" i="1" s="1"/>
  <c r="X43" i="1"/>
  <c r="Z43" i="1" s="1"/>
  <c r="X41" i="1"/>
  <c r="Z41" i="1" s="1"/>
  <c r="X38" i="1"/>
  <c r="Z38" i="1" s="1"/>
  <c r="Z40" i="1"/>
  <c r="X37" i="1"/>
  <c r="Z37" i="1" s="1"/>
  <c r="X13" i="1"/>
  <c r="Z13" i="1" s="1"/>
  <c r="X10" i="1"/>
  <c r="X39" i="1"/>
  <c r="Z39" i="1" s="1"/>
  <c r="AA36" i="1"/>
  <c r="X29" i="1"/>
  <c r="Z29" i="1" s="1"/>
  <c r="X20" i="1"/>
  <c r="Z20" i="1" s="1"/>
  <c r="AA20" i="1" s="1"/>
  <c r="X25" i="1"/>
  <c r="Z25" i="1" s="1"/>
  <c r="X27" i="1"/>
  <c r="Z27" i="1" s="1"/>
  <c r="J58" i="1"/>
  <c r="L58" i="1" s="1"/>
  <c r="X9" i="1"/>
  <c r="Z9" i="1" s="1"/>
  <c r="AF55" i="1"/>
  <c r="L11" i="1"/>
  <c r="J52" i="1"/>
  <c r="X6" i="1"/>
  <c r="Z6" i="1" s="1"/>
  <c r="X7" i="1"/>
  <c r="Z7" i="1" s="1"/>
  <c r="X11" i="1"/>
  <c r="Z11" i="1" s="1"/>
  <c r="J53" i="1"/>
  <c r="L53" i="1" s="1"/>
  <c r="X8" i="1"/>
  <c r="Z8" i="1" s="1"/>
  <c r="X5" i="1"/>
  <c r="Z5" i="1" s="1"/>
  <c r="X4" i="1"/>
  <c r="Z4" i="1" s="1"/>
  <c r="AA4" i="1" s="1"/>
  <c r="X12" i="1"/>
  <c r="J54" i="1"/>
  <c r="L54" i="1" s="1"/>
  <c r="J56" i="1"/>
  <c r="L56" i="1" s="1"/>
  <c r="J55" i="1"/>
  <c r="L55" i="1" s="1"/>
  <c r="L12" i="1"/>
  <c r="J28" i="1"/>
  <c r="L28" i="1" s="1"/>
  <c r="L4" i="1"/>
  <c r="M4" i="1" s="1"/>
  <c r="J36" i="1"/>
  <c r="L36" i="1" s="1"/>
  <c r="M36" i="1" s="1"/>
  <c r="J41" i="1"/>
  <c r="L41" i="1" s="1"/>
  <c r="J5" i="1"/>
  <c r="L5" i="1" s="1"/>
  <c r="J8" i="1"/>
  <c r="L8" i="1" s="1"/>
  <c r="J26" i="1"/>
  <c r="L26" i="1" s="1"/>
  <c r="M26" i="1" s="1"/>
  <c r="J7" i="1"/>
  <c r="L7" i="1" s="1"/>
  <c r="J6" i="1"/>
  <c r="L6" i="1" s="1"/>
  <c r="J15" i="1"/>
  <c r="J40" i="1"/>
  <c r="L40" i="1" s="1"/>
  <c r="J43" i="1"/>
  <c r="L43" i="1" s="1"/>
  <c r="J39" i="1"/>
  <c r="L39" i="1" s="1"/>
  <c r="J9" i="1"/>
  <c r="L9" i="1" s="1"/>
  <c r="J38" i="1"/>
  <c r="L38" i="1" s="1"/>
  <c r="J37" i="1"/>
  <c r="L37" i="1" s="1"/>
  <c r="J10" i="1"/>
  <c r="L10" i="1" s="1"/>
  <c r="J27" i="1"/>
  <c r="L27" i="1" s="1"/>
  <c r="M21" i="1"/>
  <c r="M23" i="1"/>
  <c r="M24" i="1"/>
  <c r="J44" i="1"/>
  <c r="L44" i="1" s="1"/>
  <c r="M22" i="1"/>
  <c r="M25" i="1"/>
  <c r="Z10" i="1"/>
  <c r="J42" i="1"/>
  <c r="L42" i="1" s="1"/>
  <c r="AA46" i="1" l="1"/>
  <c r="X61" i="1"/>
  <c r="X63" i="1" s="1"/>
  <c r="AA38" i="1"/>
  <c r="AA42" i="1"/>
  <c r="AA40" i="1"/>
  <c r="AA43" i="1"/>
  <c r="AA39" i="1"/>
  <c r="AA41" i="1"/>
  <c r="AA44" i="1"/>
  <c r="AA45" i="1"/>
  <c r="AA37" i="1"/>
  <c r="Z12" i="1"/>
  <c r="AA12" i="1" s="1"/>
  <c r="X15" i="1"/>
  <c r="X47" i="1"/>
  <c r="X49" i="1" s="1"/>
  <c r="L52" i="1"/>
  <c r="M52" i="1" s="1"/>
  <c r="M53" i="1" s="1"/>
  <c r="M54" i="1" s="1"/>
  <c r="M55" i="1" s="1"/>
  <c r="M56" i="1" s="1"/>
  <c r="M57" i="1" s="1"/>
  <c r="M58" i="1" s="1"/>
  <c r="J59" i="1"/>
  <c r="M39" i="1"/>
  <c r="M27" i="1"/>
  <c r="AA7" i="1"/>
  <c r="AA5" i="1"/>
  <c r="AA8" i="1"/>
  <c r="AA9" i="1"/>
  <c r="AA6" i="1"/>
  <c r="J14" i="1"/>
  <c r="J30" i="1"/>
  <c r="J32" i="1" s="1"/>
  <c r="M28" i="1"/>
  <c r="M40" i="1"/>
  <c r="M41" i="1"/>
  <c r="M37" i="1"/>
  <c r="M38" i="1"/>
  <c r="M44" i="1"/>
  <c r="M11" i="1"/>
  <c r="M10" i="1"/>
  <c r="M6" i="1"/>
  <c r="M9" i="1"/>
  <c r="M8" i="1"/>
  <c r="M7" i="1"/>
  <c r="M5" i="1"/>
  <c r="M12" i="1"/>
  <c r="AA10" i="1"/>
  <c r="AA11" i="1"/>
  <c r="M43" i="1"/>
  <c r="J46" i="1"/>
  <c r="M42" i="1"/>
  <c r="AA14" i="1" l="1"/>
  <c r="AA13" i="1"/>
  <c r="J16" i="1"/>
  <c r="J61" i="1"/>
  <c r="J48" i="1"/>
  <c r="X17" i="1"/>
  <c r="AD5" i="1"/>
  <c r="AD7" i="1" s="1"/>
  <c r="X31" i="1"/>
  <c r="X33" i="1" s="1"/>
  <c r="AA29" i="1"/>
  <c r="AA27" i="1"/>
  <c r="AA25" i="1"/>
  <c r="AA30" i="1"/>
  <c r="AA28" i="1"/>
  <c r="AA26" i="1"/>
</calcChain>
</file>

<file path=xl/sharedStrings.xml><?xml version="1.0" encoding="utf-8"?>
<sst xmlns="http://schemas.openxmlformats.org/spreadsheetml/2006/main" count="368" uniqueCount="188">
  <si>
    <t>Difference</t>
  </si>
  <si>
    <t xml:space="preserve">Behind? </t>
  </si>
  <si>
    <t>TOTAL</t>
  </si>
  <si>
    <t>Mandatory</t>
  </si>
  <si>
    <t>Article</t>
  </si>
  <si>
    <t>Abstract</t>
  </si>
  <si>
    <t xml:space="preserve">Week nr. </t>
  </si>
  <si>
    <t>Monday</t>
  </si>
  <si>
    <t>Tuesday</t>
  </si>
  <si>
    <t>Wednesday</t>
  </si>
  <si>
    <t>Thursday</t>
  </si>
  <si>
    <t>Friday</t>
  </si>
  <si>
    <t>Saturday</t>
  </si>
  <si>
    <t>Sunday</t>
  </si>
  <si>
    <t>Total in week</t>
  </si>
  <si>
    <t>Optimal hours</t>
  </si>
  <si>
    <t>Year</t>
  </si>
  <si>
    <t>Life time</t>
  </si>
  <si>
    <t>Gate time</t>
  </si>
  <si>
    <t>E_C</t>
  </si>
  <si>
    <t>E_J</t>
  </si>
  <si>
    <t xml:space="preserve">E_L </t>
  </si>
  <si>
    <t>phi_ext</t>
  </si>
  <si>
    <t>dielectric loss</t>
  </si>
  <si>
    <t>T_1 [μs]</t>
  </si>
  <si>
    <t>Normalized density inductor</t>
  </si>
  <si>
    <t>Timeline fluxonium:  - it looks like there have been 3 institues who have made fluxonium from 2009-2018</t>
  </si>
  <si>
    <t>Manucharyan2009</t>
  </si>
  <si>
    <t>Fluxonium: single Cooper pair circuit free of charge offsets</t>
  </si>
  <si>
    <t>Experimental</t>
  </si>
  <si>
    <t>Theoretical</t>
  </si>
  <si>
    <t>Blueprint for a High-Performance Fluxonium Quantum Processor</t>
  </si>
  <si>
    <t>Nguyen2022</t>
  </si>
  <si>
    <t>Universal Fast-Flux Control of a Coherent, Low-Frequency Qubit</t>
  </si>
  <si>
    <t>Zhang2021</t>
  </si>
  <si>
    <t>Gate-Tunable Field-Compatible Fluxonium</t>
  </si>
  <si>
    <t>Marta Pita-Vidal2020</t>
  </si>
  <si>
    <t>Design</t>
  </si>
  <si>
    <t>Device</t>
  </si>
  <si>
    <t>Ground planes and qubit island</t>
  </si>
  <si>
    <t>Nanowire</t>
  </si>
  <si>
    <t>Shell</t>
  </si>
  <si>
    <t>Weak link</t>
  </si>
  <si>
    <t>Experimental/theoretical</t>
  </si>
  <si>
    <t>Title</t>
  </si>
  <si>
    <t>Authur/citation key</t>
  </si>
  <si>
    <t>Take away message</t>
  </si>
  <si>
    <t>T_2,echo</t>
  </si>
  <si>
    <t>Anharmonicity, alpha</t>
  </si>
  <si>
    <t>Coupling strength</t>
  </si>
  <si>
    <t>Comments</t>
  </si>
  <si>
    <t>Cavity,fc,Q</t>
  </si>
  <si>
    <t>The first fluxonium paper</t>
  </si>
  <si>
    <t>Composition</t>
  </si>
  <si>
    <t>0.52Ghz</t>
  </si>
  <si>
    <t>9.0 GHz</t>
  </si>
  <si>
    <t>2.5GHz</t>
  </si>
  <si>
    <t>Z_JA</t>
  </si>
  <si>
    <t>0.5R_Q</t>
  </si>
  <si>
    <t>Z_J</t>
  </si>
  <si>
    <t>1.5R_Q</t>
  </si>
  <si>
    <t>Resonator bare frequency</t>
  </si>
  <si>
    <t>8.1755 GHz</t>
  </si>
  <si>
    <t>Quality factor</t>
  </si>
  <si>
    <t>how do you change between the modes ?</t>
  </si>
  <si>
    <t>\Delta \phi</t>
  </si>
  <si>
    <t>43Al-AlOx-Al (43 junctions forms the inductor and 1 josephson junction in the "transmon"). 
200 nm between each junction = total array length are 20 micrometer</t>
  </si>
  <si>
    <t>Base temperature of dilution fridge</t>
  </si>
  <si>
    <t>10-20mK</t>
  </si>
  <si>
    <t>T_2*</t>
  </si>
  <si>
    <t>Manucharyan2012</t>
  </si>
  <si>
    <t>Evidence for coherent quantum phase slips across a Josephson junction array</t>
  </si>
  <si>
    <t>They are the first ones to propose fluxonium - no off-set charges in the array (that is the array of josephson junctions does not accumulate in the josephson junction (can shift the energy levels + decoherence time)).</t>
  </si>
  <si>
    <t xml:space="preserve">Here they are the first one to build Fluxonium (it's the same group which proposed it). </t>
  </si>
  <si>
    <t>43Al-AlOx-Al (43 junctions forms the inductor and 1 josephson junction in the "transmon"). 
Si substrate are 300 micrometer thick
200 nm between each junction = total array length are 20 micrometer</t>
  </si>
  <si>
    <t>Al evaporation pressure</t>
  </si>
  <si>
    <t>10^-5 Pa
The AlOx grown in an environment of 680 Pa of 15% oxigen-in-argon mixture for a period of 10 minutes.
Total e-beam time less than 10 min We emphasize that the entire fluxonium device – including the Josephson array, the black-sheep junction, the resonator, and the test structures – is fabricated in a single step</t>
  </si>
  <si>
    <t>3.5μs</t>
  </si>
  <si>
    <t>2μs</t>
  </si>
  <si>
    <t>4.5μs</t>
  </si>
  <si>
    <t>Circuit QED with fluxonium qubits: theory of the dispersive regime</t>
  </si>
  <si>
    <t>Zhu2012</t>
  </si>
  <si>
    <t xml:space="preserve">Protocols,  gates, and readout rely on knowledge of the dispersive regime: In this article they try to make a systematic treatment of fourth-order corrections to the dispersive regime and applied it to fluxonium. </t>
  </si>
  <si>
    <t>Their findings: our calculations show that dispersive shifts can indeed be as large as 10 MHz even when the corresponding 0-1 fluxonium transition is detuned by almost 8 GHz from the resonator.</t>
  </si>
  <si>
    <t>tradeoff between anharmonicity (related to leakage) and pure dephasing errors</t>
  </si>
  <si>
    <t>Tradeoff between leakage and dephasing errors in the fluxonium qubit</t>
  </si>
  <si>
    <t>High coherence fluxonium qubit</t>
  </si>
  <si>
    <t>Nguyen2019</t>
  </si>
  <si>
    <t>Introduction</t>
  </si>
  <si>
    <t>Theory</t>
  </si>
  <si>
    <t>Advantages of fluxonium</t>
  </si>
  <si>
    <t xml:space="preserve">How many have tried so far? </t>
  </si>
  <si>
    <t>Superconductivity</t>
  </si>
  <si>
    <t>Circuits</t>
  </si>
  <si>
    <t>Superconducting circuits</t>
  </si>
  <si>
    <t>Cavity QED/quantum optics</t>
  </si>
  <si>
    <t>circuit QED</t>
  </si>
  <si>
    <t>Simulations</t>
  </si>
  <si>
    <t>Fabrication</t>
  </si>
  <si>
    <t xml:space="preserve">Characterization </t>
  </si>
  <si>
    <t xml:space="preserve">Discussion </t>
  </si>
  <si>
    <t xml:space="preserve">Conclusion </t>
  </si>
  <si>
    <t>Appendicies</t>
  </si>
  <si>
    <t>Numerical analysis</t>
  </si>
  <si>
    <t>How people uses the different machines</t>
  </si>
  <si>
    <t>Blok 1</t>
  </si>
  <si>
    <t>Blok 2</t>
  </si>
  <si>
    <t>Blok 3</t>
  </si>
  <si>
    <t xml:space="preserve">Blok 4 </t>
  </si>
  <si>
    <t>Blok 5</t>
  </si>
  <si>
    <t>2022-2023</t>
  </si>
  <si>
    <t>2023-2024</t>
  </si>
  <si>
    <t>Blok 4</t>
  </si>
  <si>
    <t>1ECTS</t>
  </si>
  <si>
    <t>60 ECTS</t>
  </si>
  <si>
    <t>Aumann2022</t>
  </si>
  <si>
    <t xml:space="preserve">CircuitQ: An open-source toolbox for superconducting circuits. </t>
  </si>
  <si>
    <t>CircuitQ is a library for python. In the article they describe how they simulate the Hamiltonian as well as noise and relaxation times.</t>
  </si>
  <si>
    <t>Noise</t>
  </si>
  <si>
    <t>relaxation time</t>
  </si>
  <si>
    <t>They have their way of implementing it in python</t>
  </si>
  <si>
    <t>TOTAL so far</t>
  </si>
  <si>
    <t>timer</t>
  </si>
  <si>
    <t xml:space="preserve">timer </t>
  </si>
  <si>
    <t>In this block you have full time study</t>
  </si>
  <si>
    <t>helping teacher</t>
  </si>
  <si>
    <t xml:space="preserve">QM </t>
  </si>
  <si>
    <t>Month</t>
  </si>
  <si>
    <t>July</t>
  </si>
  <si>
    <t>July/august</t>
  </si>
  <si>
    <t>August</t>
  </si>
  <si>
    <t>Quantum learning Qmath</t>
  </si>
  <si>
    <t>September</t>
  </si>
  <si>
    <t>Oktober</t>
  </si>
  <si>
    <t>Oktober/november</t>
  </si>
  <si>
    <t>November</t>
  </si>
  <si>
    <t>December</t>
  </si>
  <si>
    <t>Janurary</t>
  </si>
  <si>
    <t>Februrary</t>
  </si>
  <si>
    <t>EM Waves: reflection, transmission polerization in vacuum, materials (dieelctrics or conductors) and more specific with bouandery conditions and in coaxial cables</t>
  </si>
  <si>
    <t>Griffiths2018</t>
  </si>
  <si>
    <t>Theory of electromagnetism for physicists.</t>
  </si>
  <si>
    <t>Different type of qubits</t>
  </si>
  <si>
    <t>Bose einstein condensates in potential wells</t>
  </si>
  <si>
    <t>Iontraps</t>
  </si>
  <si>
    <t>Superconductors</t>
  </si>
  <si>
    <t>2 level system</t>
  </si>
  <si>
    <t>T_2</t>
  </si>
  <si>
    <t>T_1</t>
  </si>
  <si>
    <t>Gatetime</t>
  </si>
  <si>
    <t>Gatetime vs. T_1/T_2</t>
  </si>
  <si>
    <t>Strength of interaction between the qubits</t>
  </si>
  <si>
    <t>Strength of interaction between the sorroundings</t>
  </si>
  <si>
    <t>what is the fidelity?</t>
  </si>
  <si>
    <t>Lahtinen2017</t>
  </si>
  <si>
    <t>A short introduction to Topological quantum computing</t>
  </si>
  <si>
    <t>Can be the interface between a normal metal and a heavy metal under an applied magnetic field. At the interface is formed a "fake" 2D superconductor which exhibit majorana zero modes??</t>
  </si>
  <si>
    <t xml:space="preserve">Is qusiparticles called anyons. These can be created in many different ways but some criterias has to be fulfilled: it has to be 2D systems (as the anyons rely on the topology of 2D systems is different from 3D systems). The 2 level system is then defined as their position. </t>
  </si>
  <si>
    <t xml:space="preserve">Cavity </t>
  </si>
  <si>
    <t xml:space="preserve">Controlled by (how do we operate and how do we form gates?). </t>
  </si>
  <si>
    <t xml:space="preserve">The state is determined by their position. Or exhanging the anions in a desired sequence called a braid).  </t>
  </si>
  <si>
    <t xml:space="preserve">How do you read out (measure)? </t>
  </si>
  <si>
    <t xml:space="preserve">By fusing the Anyons. When fusing anyons, 2 thigs can happen: either they annihilating each other leaving back nothing or they fuse into a heavy mass particle. When the energy is detected, one know if it is in state 0 or 1. </t>
  </si>
  <si>
    <t>Topological qubits in general</t>
  </si>
  <si>
    <t>Topological qubits - Majorana Zero modes</t>
  </si>
  <si>
    <t xml:space="preserve">What are the strength of these qubits? </t>
  </si>
  <si>
    <t xml:space="preserve">What are the weaknesses of these qubits? </t>
  </si>
  <si>
    <t>Topological qubits have very low errors which are highly needed in a quantum computer!.</t>
  </si>
  <si>
    <t>Difficult to initilize experimentally.</t>
  </si>
  <si>
    <t>Relative permittivity</t>
  </si>
  <si>
    <t>NbTiN</t>
  </si>
  <si>
    <t>Relative permeability</t>
  </si>
  <si>
    <t>Dielectric loss tangent</t>
  </si>
  <si>
    <t>Temperature dependent</t>
  </si>
  <si>
    <t>Al (pec) at 0K</t>
  </si>
  <si>
    <t>Si at 0 K</t>
  </si>
  <si>
    <t>mass density</t>
  </si>
  <si>
    <t>cite</t>
  </si>
  <si>
    <t>Ansys</t>
  </si>
  <si>
    <t>Effective dielectric constant (\epsilon_{eff})</t>
  </si>
  <si>
    <t>Feb/Marts</t>
  </si>
  <si>
    <t>Marts</t>
  </si>
  <si>
    <t>April</t>
  </si>
  <si>
    <t>April/Maj</t>
  </si>
  <si>
    <t>Maj</t>
  </si>
  <si>
    <t>Juni</t>
  </si>
  <si>
    <t>Aflevér speciale Torsdag</t>
  </si>
  <si>
    <t>1. Draft !!!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</si>
</sst>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.5"/>
      <color theme="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9C570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6"/>
      </patternFill>
    </fill>
    <fill>
      <patternFill patternType="solid">
        <fgColor theme="1"/>
        <bgColor indexed="64"/>
      </patternFill>
    </fill>
    <fill>
      <patternFill patternType="solid">
        <fgColor rgb="FFA5A5A5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709DB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EB9C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A3A3A3"/>
      </left>
      <right style="medium">
        <color rgb="FFA3A3A3"/>
      </right>
      <top style="medium">
        <color rgb="FFA3A3A3"/>
      </top>
      <bottom style="medium">
        <color rgb="FFA3A3A3"/>
      </bottom>
      <diagonal/>
    </border>
    <border>
      <left style="medium">
        <color rgb="FFA3A3A3"/>
      </left>
      <right style="medium">
        <color rgb="FFA3A3A3"/>
      </right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">
    <xf numFmtId="0" fontId="0" fillId="0" borderId="0"/>
    <xf numFmtId="0" fontId="3" fillId="2" borderId="0" applyNumberFormat="0" applyBorder="0" applyAlignment="0" applyProtection="0"/>
    <xf numFmtId="0" fontId="6" fillId="4" borderId="4" applyNumberFormat="0" applyAlignment="0" applyProtection="0"/>
    <xf numFmtId="0" fontId="7" fillId="13" borderId="0" applyNumberFormat="0" applyBorder="0" applyAlignment="0" applyProtection="0"/>
  </cellStyleXfs>
  <cellXfs count="26">
    <xf numFmtId="0" fontId="0" fillId="0" borderId="0" xfId="0"/>
    <xf numFmtId="0" fontId="0" fillId="0" borderId="1" xfId="0" applyBorder="1" applyAlignment="1">
      <alignment wrapText="1"/>
    </xf>
    <xf numFmtId="0" fontId="4" fillId="0" borderId="2" xfId="0" applyFont="1" applyBorder="1" applyAlignment="1">
      <alignment vertical="center" wrapText="1"/>
    </xf>
    <xf numFmtId="0" fontId="4" fillId="0" borderId="3" xfId="0" applyFont="1" applyBorder="1" applyAlignment="1">
      <alignment vertical="center" wrapText="1"/>
    </xf>
    <xf numFmtId="0" fontId="0" fillId="3" borderId="1" xfId="0" applyFill="1" applyBorder="1" applyAlignment="1">
      <alignment wrapText="1"/>
    </xf>
    <xf numFmtId="0" fontId="0" fillId="3" borderId="0" xfId="0" applyFill="1"/>
    <xf numFmtId="0" fontId="2" fillId="0" borderId="1" xfId="0" applyFont="1" applyBorder="1" applyAlignment="1">
      <alignment wrapText="1"/>
    </xf>
    <xf numFmtId="0" fontId="3" fillId="2" borderId="1" xfId="1" applyBorder="1" applyAlignment="1">
      <alignment wrapText="1"/>
    </xf>
    <xf numFmtId="0" fontId="3" fillId="2" borderId="2" xfId="1" applyBorder="1" applyAlignment="1">
      <alignment vertical="center" wrapText="1"/>
    </xf>
    <xf numFmtId="0" fontId="3" fillId="2" borderId="0" xfId="1"/>
    <xf numFmtId="0" fontId="0" fillId="0" borderId="0" xfId="0" applyAlignment="1">
      <alignment wrapText="1"/>
    </xf>
    <xf numFmtId="0" fontId="0" fillId="0" borderId="0" xfId="0" applyAlignment="1">
      <alignment horizontal="left" wrapText="1"/>
    </xf>
    <xf numFmtId="0" fontId="0" fillId="0" borderId="0" xfId="0" applyAlignment="1">
      <alignment horizontal="left" vertical="top" wrapText="1"/>
    </xf>
    <xf numFmtId="0" fontId="5" fillId="0" borderId="0" xfId="0" applyFont="1" applyAlignment="1">
      <alignment horizontal="left" wrapText="1"/>
    </xf>
    <xf numFmtId="0" fontId="6" fillId="4" borderId="4" xfId="2" applyAlignment="1">
      <alignment wrapText="1"/>
    </xf>
    <xf numFmtId="0" fontId="2" fillId="5" borderId="1" xfId="0" applyFont="1" applyFill="1" applyBorder="1" applyAlignment="1">
      <alignment wrapText="1"/>
    </xf>
    <xf numFmtId="0" fontId="2" fillId="6" borderId="1" xfId="0" applyFont="1" applyFill="1" applyBorder="1" applyAlignment="1">
      <alignment wrapText="1"/>
    </xf>
    <xf numFmtId="0" fontId="2" fillId="7" borderId="1" xfId="0" applyFont="1" applyFill="1" applyBorder="1" applyAlignment="1">
      <alignment wrapText="1"/>
    </xf>
    <xf numFmtId="0" fontId="2" fillId="8" borderId="1" xfId="0" applyFont="1" applyFill="1" applyBorder="1" applyAlignment="1">
      <alignment wrapText="1"/>
    </xf>
    <xf numFmtId="0" fontId="2" fillId="9" borderId="1" xfId="0" applyFont="1" applyFill="1" applyBorder="1" applyAlignment="1">
      <alignment wrapText="1"/>
    </xf>
    <xf numFmtId="0" fontId="2" fillId="11" borderId="1" xfId="0" applyFont="1" applyFill="1" applyBorder="1" applyAlignment="1">
      <alignment wrapText="1"/>
    </xf>
    <xf numFmtId="0" fontId="6" fillId="4" borderId="4" xfId="2"/>
    <xf numFmtId="0" fontId="2" fillId="12" borderId="0" xfId="0" applyFont="1" applyFill="1" applyAlignment="1">
      <alignment wrapText="1"/>
    </xf>
    <xf numFmtId="0" fontId="2" fillId="10" borderId="0" xfId="0" applyFont="1" applyFill="1" applyAlignment="1">
      <alignment wrapText="1"/>
    </xf>
    <xf numFmtId="0" fontId="7" fillId="13" borderId="0" xfId="3" applyAlignment="1">
      <alignment wrapText="1"/>
    </xf>
    <xf numFmtId="0" fontId="1" fillId="0" borderId="0" xfId="0" applyFont="1" applyAlignment="1">
      <alignment wrapText="1"/>
    </xf>
  </cellXfs>
  <cellStyles count="4">
    <cellStyle name="Accent3" xfId="1" builtinId="37"/>
    <cellStyle name="Check Cell" xfId="2" builtinId="23"/>
    <cellStyle name="Neutral" xfId="3" builtinId="28"/>
    <cellStyle name="Normal" xfId="0" builtinId="0"/>
  </cellStyles>
  <dxfs count="0"/>
  <tableStyles count="0" defaultTableStyle="TableStyleMedium2" defaultPivotStyle="PivotStyleLight16"/>
  <colors>
    <mruColors>
      <color rgb="FFF709D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4762</xdr:colOff>
      <xdr:row>8</xdr:row>
      <xdr:rowOff>47624</xdr:rowOff>
    </xdr:from>
    <xdr:to>
      <xdr:col>1</xdr:col>
      <xdr:colOff>3652837</xdr:colOff>
      <xdr:row>8</xdr:row>
      <xdr:rowOff>1685924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C283CF-DC24-460A-972D-07A23A038B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6" t="2447" r="35447" b="3976"/>
        <a:stretch/>
      </xdr:blipFill>
      <xdr:spPr>
        <a:xfrm>
          <a:off x="1771650" y="2400299"/>
          <a:ext cx="3648075" cy="1638300"/>
        </a:xfrm>
        <a:prstGeom prst="rect">
          <a:avLst/>
        </a:prstGeom>
      </xdr:spPr>
    </xdr:pic>
    <xdr:clientData/>
  </xdr:twoCellAnchor>
  <xdr:twoCellAnchor>
    <xdr:from>
      <xdr:col>1</xdr:col>
      <xdr:colOff>1871662</xdr:colOff>
      <xdr:row>8</xdr:row>
      <xdr:rowOff>1553320</xdr:rowOff>
    </xdr:from>
    <xdr:to>
      <xdr:col>2</xdr:col>
      <xdr:colOff>0</xdr:colOff>
      <xdr:row>9</xdr:row>
      <xdr:rowOff>23813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8FF2C11-5F58-4E95-BACE-248EFC246D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4303" t="4280" b="3059"/>
        <a:stretch/>
      </xdr:blipFill>
      <xdr:spPr>
        <a:xfrm>
          <a:off x="3638550" y="3905995"/>
          <a:ext cx="1828800" cy="1294656"/>
        </a:xfrm>
        <a:prstGeom prst="rect">
          <a:avLst/>
        </a:prstGeom>
      </xdr:spPr>
    </xdr:pic>
    <xdr:clientData/>
  </xdr:twoCellAnchor>
  <xdr:twoCellAnchor>
    <xdr:from>
      <xdr:col>2</xdr:col>
      <xdr:colOff>28575</xdr:colOff>
      <xdr:row>8</xdr:row>
      <xdr:rowOff>4174</xdr:rowOff>
    </xdr:from>
    <xdr:to>
      <xdr:col>2</xdr:col>
      <xdr:colOff>4448681</xdr:colOff>
      <xdr:row>8</xdr:row>
      <xdr:rowOff>2633074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0739229-5E77-D60D-5A90-E5BB52940D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030"/>
        <a:stretch/>
      </xdr:blipFill>
      <xdr:spPr>
        <a:xfrm rot="10800000">
          <a:off x="5909460" y="3257657"/>
          <a:ext cx="4420106" cy="262890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8</xdr:row>
      <xdr:rowOff>1</xdr:rowOff>
    </xdr:from>
    <xdr:to>
      <xdr:col>3</xdr:col>
      <xdr:colOff>2868203</xdr:colOff>
      <xdr:row>9</xdr:row>
      <xdr:rowOff>334980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43C381-A3C3-B652-0030-D9FC32091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25914" y="4339763"/>
          <a:ext cx="2868202" cy="316037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765210</xdr:rowOff>
    </xdr:from>
    <xdr:to>
      <xdr:col>5</xdr:col>
      <xdr:colOff>4280</xdr:colOff>
      <xdr:row>8</xdr:row>
      <xdr:rowOff>2471756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9CADA7F-1188-BAF6-BC7A-744B87D62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421869" y="5104972"/>
          <a:ext cx="3353905" cy="1706546"/>
        </a:xfrm>
        <a:prstGeom prst="rect">
          <a:avLst/>
        </a:prstGeom>
      </xdr:spPr>
    </xdr:pic>
    <xdr:clientData/>
  </xdr:twoCellAnchor>
  <xdr:twoCellAnchor editAs="oneCell">
    <xdr:from>
      <xdr:col>7</xdr:col>
      <xdr:colOff>219396</xdr:colOff>
      <xdr:row>8</xdr:row>
      <xdr:rowOff>2793287</xdr:rowOff>
    </xdr:from>
    <xdr:to>
      <xdr:col>7</xdr:col>
      <xdr:colOff>2803989</xdr:colOff>
      <xdr:row>10</xdr:row>
      <xdr:rowOff>20306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8D4AC76-7B49-826C-C045-A11BC5485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398413" y="7133049"/>
          <a:ext cx="2584593" cy="176477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1</xdr:rowOff>
    </xdr:from>
    <xdr:to>
      <xdr:col>7</xdr:col>
      <xdr:colOff>2485159</xdr:colOff>
      <xdr:row>9</xdr:row>
      <xdr:rowOff>66694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F8A004A-4631-1ABD-A244-AF3646DEA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176682" y="4355525"/>
          <a:ext cx="2485159" cy="2889556"/>
        </a:xfrm>
        <a:prstGeom prst="rect">
          <a:avLst/>
        </a:prstGeom>
      </xdr:spPr>
    </xdr:pic>
    <xdr:clientData/>
  </xdr:twoCellAnchor>
  <xdr:twoCellAnchor editAs="oneCell">
    <xdr:from>
      <xdr:col>3</xdr:col>
      <xdr:colOff>273050</xdr:colOff>
      <xdr:row>7</xdr:row>
      <xdr:rowOff>37389</xdr:rowOff>
    </xdr:from>
    <xdr:to>
      <xdr:col>3</xdr:col>
      <xdr:colOff>3200399</xdr:colOff>
      <xdr:row>7</xdr:row>
      <xdr:rowOff>1035075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0B68828-B57D-1FDF-7784-EFA0557AB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42601" y="3129840"/>
          <a:ext cx="2927349" cy="9976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</xdr:row>
      <xdr:rowOff>1</xdr:rowOff>
    </xdr:from>
    <xdr:to>
      <xdr:col>7</xdr:col>
      <xdr:colOff>2927350</xdr:colOff>
      <xdr:row>7</xdr:row>
      <xdr:rowOff>967141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4027BD6-93A3-C4F4-204B-3446765F4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719800" y="3092452"/>
          <a:ext cx="2927350" cy="967140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8</xdr:row>
      <xdr:rowOff>1011274</xdr:rowOff>
    </xdr:from>
    <xdr:to>
      <xdr:col>10</xdr:col>
      <xdr:colOff>2305050</xdr:colOff>
      <xdr:row>8</xdr:row>
      <xdr:rowOff>2565419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28919FD-364E-BFE5-3D1A-C0C915DEA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219150" y="5367374"/>
          <a:ext cx="2209800" cy="1554145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152401</xdr:colOff>
      <xdr:row>8</xdr:row>
      <xdr:rowOff>368300</xdr:rowOff>
    </xdr:from>
    <xdr:to>
      <xdr:col>11</xdr:col>
      <xdr:colOff>6327531</xdr:colOff>
      <xdr:row>8</xdr:row>
      <xdr:rowOff>2807157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4A17975-BD67-8399-D958-78976B785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924001" y="5511800"/>
          <a:ext cx="6175130" cy="243885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15</xdr:col>
      <xdr:colOff>161155</xdr:colOff>
      <xdr:row>34</xdr:row>
      <xdr:rowOff>94076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B72E6ED-7A5D-BAB3-7667-E5A005B3F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3175575" y="5143500"/>
          <a:ext cx="6161905" cy="93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4762</xdr:colOff>
      <xdr:row>8</xdr:row>
      <xdr:rowOff>47624</xdr:rowOff>
    </xdr:from>
    <xdr:to>
      <xdr:col>1</xdr:col>
      <xdr:colOff>3652837</xdr:colOff>
      <xdr:row>8</xdr:row>
      <xdr:rowOff>1685924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F7C0A1-88F8-4AE0-8666-245D8DF48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6" t="2447" r="35447" b="3976"/>
        <a:stretch/>
      </xdr:blipFill>
      <xdr:spPr>
        <a:xfrm>
          <a:off x="2181225" y="4210049"/>
          <a:ext cx="3648075" cy="1638300"/>
        </a:xfrm>
        <a:prstGeom prst="rect">
          <a:avLst/>
        </a:prstGeom>
      </xdr:spPr>
    </xdr:pic>
    <xdr:clientData/>
  </xdr:twoCellAnchor>
  <xdr:twoCellAnchor>
    <xdr:from>
      <xdr:col>1</xdr:col>
      <xdr:colOff>1871662</xdr:colOff>
      <xdr:row>8</xdr:row>
      <xdr:rowOff>1553320</xdr:rowOff>
    </xdr:from>
    <xdr:to>
      <xdr:col>2</xdr:col>
      <xdr:colOff>0</xdr:colOff>
      <xdr:row>9</xdr:row>
      <xdr:rowOff>23813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F3C819-BC46-4248-8665-2BA0012703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4303" t="4280" b="3059"/>
        <a:stretch/>
      </xdr:blipFill>
      <xdr:spPr>
        <a:xfrm>
          <a:off x="4048125" y="5715745"/>
          <a:ext cx="1828800" cy="12946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FD3642-0160-4F80-A919-E5148D367A9D}">
  <dimension ref="A1:AF65"/>
  <sheetViews>
    <sheetView tabSelected="1" zoomScale="95" workbookViewId="0">
      <selection activeCell="R12" sqref="R12"/>
    </sheetView>
  </sheetViews>
  <sheetFormatPr defaultRowHeight="16.5" thickTop="1" thickBottom="1" x14ac:dyDescent="0.3"/>
  <cols>
    <col min="1" max="1" width="15.85546875" customWidth="1"/>
    <col min="3" max="3" width="8.140625" bestFit="1" customWidth="1"/>
    <col min="4" max="4" width="8.28515625" bestFit="1" customWidth="1"/>
    <col min="5" max="5" width="11.42578125" bestFit="1" customWidth="1"/>
    <col min="6" max="6" width="9" bestFit="1" customWidth="1"/>
    <col min="7" max="7" width="6.42578125" bestFit="1" customWidth="1"/>
    <col min="8" max="8" width="8.7109375" bestFit="1" customWidth="1"/>
    <col min="9" max="9" width="10.5703125" bestFit="1" customWidth="1"/>
    <col min="10" max="10" width="12.85546875" bestFit="1" customWidth="1"/>
    <col min="11" max="11" width="13.7109375" bestFit="1" customWidth="1"/>
    <col min="12" max="12" width="10.42578125" bestFit="1" customWidth="1"/>
    <col min="13" max="13" width="8.7109375" bestFit="1" customWidth="1"/>
    <col min="14" max="14" width="2.42578125" style="21" customWidth="1"/>
    <col min="15" max="15" width="23" bestFit="1" customWidth="1"/>
    <col min="16" max="16" width="9.42578125" bestFit="1" customWidth="1"/>
    <col min="17" max="17" width="8.140625" bestFit="1" customWidth="1"/>
    <col min="18" max="18" width="8.28515625" bestFit="1" customWidth="1"/>
    <col min="19" max="19" width="11.42578125" bestFit="1" customWidth="1"/>
    <col min="20" max="20" width="9" bestFit="1" customWidth="1"/>
    <col min="21" max="21" width="6.42578125" bestFit="1" customWidth="1"/>
    <col min="23" max="23" width="10.5703125" bestFit="1" customWidth="1"/>
    <col min="24" max="24" width="12.85546875" bestFit="1" customWidth="1"/>
    <col min="25" max="25" width="13.7109375" bestFit="1" customWidth="1"/>
    <col min="26" max="26" width="10.42578125" bestFit="1" customWidth="1"/>
    <col min="27" max="27" width="8.7109375" bestFit="1" customWidth="1"/>
    <col min="29" max="29" width="12.140625" bestFit="1" customWidth="1"/>
  </cols>
  <sheetData>
    <row r="1" spans="1:31" thickTop="1" thickBot="1" x14ac:dyDescent="0.3">
      <c r="A1" s="14" t="s">
        <v>110</v>
      </c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  <c r="O1" s="14" t="s">
        <v>111</v>
      </c>
      <c r="P1" s="10"/>
      <c r="Q1" s="10"/>
      <c r="R1" s="10"/>
      <c r="S1" s="10"/>
      <c r="T1" s="10"/>
      <c r="U1" s="10"/>
      <c r="V1" s="10"/>
      <c r="W1" s="10"/>
      <c r="X1" s="10"/>
      <c r="Y1" s="10"/>
      <c r="Z1" s="10"/>
      <c r="AA1" s="10"/>
    </row>
    <row r="2" spans="1:31" s="21" customFormat="1" thickTop="1" thickBot="1" x14ac:dyDescent="0.3">
      <c r="A2" s="14"/>
      <c r="B2" s="14" t="s">
        <v>106</v>
      </c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 t="s">
        <v>105</v>
      </c>
      <c r="Q2" s="14"/>
      <c r="R2" s="14"/>
      <c r="S2" s="14"/>
      <c r="T2" s="14"/>
      <c r="U2" s="14"/>
      <c r="V2" s="14"/>
      <c r="W2" s="14"/>
      <c r="X2" s="14"/>
      <c r="Y2" s="14"/>
      <c r="Z2" s="14"/>
      <c r="AA2" s="14"/>
    </row>
    <row r="3" spans="1:31" thickTop="1" thickBot="1" x14ac:dyDescent="0.3">
      <c r="A3" s="10"/>
      <c r="B3" s="10" t="s">
        <v>6</v>
      </c>
      <c r="C3" s="10" t="s">
        <v>7</v>
      </c>
      <c r="D3" s="10" t="s">
        <v>8</v>
      </c>
      <c r="E3" s="10" t="s">
        <v>9</v>
      </c>
      <c r="F3" s="10" t="s">
        <v>10</v>
      </c>
      <c r="G3" s="10" t="s">
        <v>11</v>
      </c>
      <c r="H3" s="10" t="s">
        <v>12</v>
      </c>
      <c r="I3" s="10" t="s">
        <v>13</v>
      </c>
      <c r="J3" s="10" t="s">
        <v>14</v>
      </c>
      <c r="K3" s="10" t="s">
        <v>15</v>
      </c>
      <c r="L3" s="10" t="s">
        <v>0</v>
      </c>
      <c r="M3" s="10" t="s">
        <v>1</v>
      </c>
      <c r="N3" s="14"/>
      <c r="O3" s="10"/>
      <c r="P3" s="10" t="s">
        <v>6</v>
      </c>
      <c r="Q3" s="10" t="s">
        <v>7</v>
      </c>
      <c r="R3" s="10" t="s">
        <v>8</v>
      </c>
      <c r="S3" s="10" t="s">
        <v>9</v>
      </c>
      <c r="T3" s="10" t="s">
        <v>10</v>
      </c>
      <c r="U3" s="10" t="s">
        <v>11</v>
      </c>
      <c r="V3" s="10" t="s">
        <v>12</v>
      </c>
      <c r="W3" s="10" t="s">
        <v>13</v>
      </c>
      <c r="X3" s="10" t="s">
        <v>14</v>
      </c>
      <c r="Y3" s="10" t="s">
        <v>15</v>
      </c>
      <c r="Z3" s="10" t="s">
        <v>0</v>
      </c>
      <c r="AA3" s="10" t="s">
        <v>1</v>
      </c>
      <c r="AC3" s="21" t="s">
        <v>113</v>
      </c>
      <c r="AD3" s="21">
        <f>25</f>
        <v>25</v>
      </c>
      <c r="AE3" t="s">
        <v>122</v>
      </c>
    </row>
    <row r="4" spans="1:31" thickTop="1" thickBot="1" x14ac:dyDescent="0.3">
      <c r="A4" s="10"/>
      <c r="B4" s="10">
        <v>48</v>
      </c>
      <c r="C4" s="10">
        <v>0</v>
      </c>
      <c r="D4" s="10">
        <v>3</v>
      </c>
      <c r="E4" s="10">
        <v>3</v>
      </c>
      <c r="F4" s="10">
        <v>0</v>
      </c>
      <c r="G4" s="10">
        <v>0</v>
      </c>
      <c r="H4" s="10">
        <v>0</v>
      </c>
      <c r="I4" s="10">
        <v>0</v>
      </c>
      <c r="J4" s="10">
        <f>SUM(C4:I4)</f>
        <v>6</v>
      </c>
      <c r="K4" s="10">
        <f>40/2</f>
        <v>20</v>
      </c>
      <c r="L4" s="10">
        <f>J4-K4</f>
        <v>-14</v>
      </c>
      <c r="M4" s="10">
        <f>SUM(L4)</f>
        <v>-14</v>
      </c>
      <c r="N4" s="14"/>
      <c r="O4" s="10" t="s">
        <v>132</v>
      </c>
      <c r="P4" s="10">
        <v>36</v>
      </c>
      <c r="Q4" s="10">
        <f>17-8</f>
        <v>9</v>
      </c>
      <c r="R4" s="10">
        <v>0</v>
      </c>
      <c r="S4" s="10">
        <f>18-8</f>
        <v>10</v>
      </c>
      <c r="T4" s="10">
        <v>9</v>
      </c>
      <c r="U4" s="10">
        <v>7</v>
      </c>
      <c r="V4" s="10">
        <v>0</v>
      </c>
      <c r="W4" s="10">
        <v>7</v>
      </c>
      <c r="X4" s="10">
        <f>SUM(Q4:W4)</f>
        <v>42</v>
      </c>
      <c r="Y4" s="10">
        <v>40</v>
      </c>
      <c r="Z4" s="10">
        <f>X4-Y4</f>
        <v>2</v>
      </c>
      <c r="AA4" s="10">
        <f>SUM(Z4)</f>
        <v>2</v>
      </c>
      <c r="AC4" s="21" t="s">
        <v>114</v>
      </c>
      <c r="AD4" s="21">
        <f>AD3*60</f>
        <v>1500</v>
      </c>
      <c r="AE4" t="s">
        <v>122</v>
      </c>
    </row>
    <row r="5" spans="1:31" thickTop="1" thickBot="1" x14ac:dyDescent="0.3">
      <c r="A5" s="10"/>
      <c r="B5" s="10">
        <v>49</v>
      </c>
      <c r="C5" s="10">
        <f t="shared" ref="C5:D8" si="0">17-9-1</f>
        <v>7</v>
      </c>
      <c r="D5" s="10">
        <f t="shared" si="0"/>
        <v>7</v>
      </c>
      <c r="E5" s="10">
        <f t="shared" ref="E5:F8" si="1">17-9-1</f>
        <v>7</v>
      </c>
      <c r="F5" s="10">
        <f t="shared" si="1"/>
        <v>7</v>
      </c>
      <c r="G5" s="10">
        <v>0</v>
      </c>
      <c r="H5" s="10">
        <v>0</v>
      </c>
      <c r="I5" s="10">
        <v>0</v>
      </c>
      <c r="J5" s="10">
        <f t="shared" ref="J5:J11" si="2">SUM(C5:I5)</f>
        <v>28</v>
      </c>
      <c r="K5" s="10">
        <f t="shared" ref="K5:K12" si="3">40/2</f>
        <v>20</v>
      </c>
      <c r="L5" s="10">
        <f t="shared" ref="L5:L9" si="4">J5-K5</f>
        <v>8</v>
      </c>
      <c r="M5" s="10">
        <f>SUM(L4:L5)</f>
        <v>-6</v>
      </c>
      <c r="N5" s="14"/>
      <c r="O5" s="10"/>
      <c r="P5" s="10">
        <v>37</v>
      </c>
      <c r="Q5" s="10">
        <f t="shared" ref="Q5:Q13" si="5">17-8</f>
        <v>9</v>
      </c>
      <c r="R5" s="10">
        <v>0</v>
      </c>
      <c r="S5" s="10">
        <v>0</v>
      </c>
      <c r="T5" s="10">
        <v>0</v>
      </c>
      <c r="U5" s="10">
        <f>18-8</f>
        <v>10</v>
      </c>
      <c r="V5" s="10">
        <f>18-15</f>
        <v>3</v>
      </c>
      <c r="W5" s="10">
        <f>15-11+22-18</f>
        <v>8</v>
      </c>
      <c r="X5" s="10">
        <f t="shared" ref="X5:X9" si="6">SUM(Q5:W5)</f>
        <v>30</v>
      </c>
      <c r="Y5" s="10">
        <v>40</v>
      </c>
      <c r="Z5" s="10">
        <f t="shared" ref="Z5:Z9" si="7">X5-Y5</f>
        <v>-10</v>
      </c>
      <c r="AA5" s="10">
        <f>SUM(Z4:Z5)</f>
        <v>-8</v>
      </c>
      <c r="AC5" s="21" t="s">
        <v>121</v>
      </c>
      <c r="AD5" s="21">
        <f>SUM(J14+J30+J46+J59+X15)</f>
        <v>1226.5</v>
      </c>
      <c r="AE5" t="s">
        <v>123</v>
      </c>
    </row>
    <row r="6" spans="1:31" thickTop="1" thickBot="1" x14ac:dyDescent="0.3">
      <c r="A6" s="10"/>
      <c r="B6" s="10">
        <v>50</v>
      </c>
      <c r="C6" s="10">
        <f t="shared" si="0"/>
        <v>7</v>
      </c>
      <c r="D6" s="10">
        <f t="shared" si="0"/>
        <v>7</v>
      </c>
      <c r="E6" s="10">
        <f t="shared" si="1"/>
        <v>7</v>
      </c>
      <c r="F6" s="10">
        <f t="shared" si="1"/>
        <v>7</v>
      </c>
      <c r="G6" s="10">
        <v>0</v>
      </c>
      <c r="H6" s="10">
        <v>0</v>
      </c>
      <c r="I6" s="10">
        <v>0</v>
      </c>
      <c r="J6" s="10">
        <f t="shared" si="2"/>
        <v>28</v>
      </c>
      <c r="K6" s="10">
        <f t="shared" si="3"/>
        <v>20</v>
      </c>
      <c r="L6" s="10">
        <f t="shared" si="4"/>
        <v>8</v>
      </c>
      <c r="M6" s="10">
        <f>SUM(L4:L6)</f>
        <v>2</v>
      </c>
      <c r="N6" s="14"/>
      <c r="O6" s="10"/>
      <c r="P6" s="10">
        <v>38</v>
      </c>
      <c r="Q6" s="10">
        <f t="shared" si="5"/>
        <v>9</v>
      </c>
      <c r="R6" s="10">
        <f>19-17</f>
        <v>2</v>
      </c>
      <c r="S6" s="10">
        <f>20-8.5</f>
        <v>11.5</v>
      </c>
      <c r="T6" s="10">
        <f>18-8</f>
        <v>10</v>
      </c>
      <c r="U6" s="10">
        <v>5</v>
      </c>
      <c r="V6" s="10">
        <v>0</v>
      </c>
      <c r="W6" s="10">
        <f>17-8.5</f>
        <v>8.5</v>
      </c>
      <c r="X6" s="10">
        <f t="shared" si="6"/>
        <v>46</v>
      </c>
      <c r="Y6" s="10">
        <v>40</v>
      </c>
      <c r="Z6" s="10">
        <f t="shared" si="7"/>
        <v>6</v>
      </c>
      <c r="AA6" s="10">
        <f>SUM(Z4:Z6)</f>
        <v>-2</v>
      </c>
      <c r="AC6" s="21" t="s">
        <v>3</v>
      </c>
      <c r="AD6" s="21">
        <f>AD4</f>
        <v>1500</v>
      </c>
      <c r="AE6" t="s">
        <v>122</v>
      </c>
    </row>
    <row r="7" spans="1:31" thickTop="1" thickBot="1" x14ac:dyDescent="0.3">
      <c r="A7" s="10"/>
      <c r="B7" s="10">
        <v>51</v>
      </c>
      <c r="C7" s="10">
        <f t="shared" si="0"/>
        <v>7</v>
      </c>
      <c r="D7" s="10">
        <f t="shared" si="0"/>
        <v>7</v>
      </c>
      <c r="E7" s="10">
        <f t="shared" si="1"/>
        <v>7</v>
      </c>
      <c r="F7" s="10">
        <f t="shared" si="1"/>
        <v>7</v>
      </c>
      <c r="G7" s="10">
        <v>0</v>
      </c>
      <c r="H7" s="10">
        <v>0</v>
      </c>
      <c r="I7" s="10">
        <v>0</v>
      </c>
      <c r="J7" s="10">
        <f t="shared" si="2"/>
        <v>28</v>
      </c>
      <c r="K7" s="10">
        <f t="shared" si="3"/>
        <v>20</v>
      </c>
      <c r="L7" s="10">
        <f t="shared" si="4"/>
        <v>8</v>
      </c>
      <c r="M7" s="10">
        <f>SUM(L4:L7)</f>
        <v>10</v>
      </c>
      <c r="N7" s="14"/>
      <c r="O7" s="10"/>
      <c r="P7" s="10">
        <v>39</v>
      </c>
      <c r="Q7" s="10">
        <f>15-8</f>
        <v>7</v>
      </c>
      <c r="R7" s="10">
        <v>0</v>
      </c>
      <c r="S7" s="10">
        <f>18-7.5</f>
        <v>10.5</v>
      </c>
      <c r="T7" s="10">
        <f>16.5-8</f>
        <v>8.5</v>
      </c>
      <c r="U7" s="10">
        <v>5</v>
      </c>
      <c r="V7" s="10">
        <v>0</v>
      </c>
      <c r="W7" s="10">
        <v>7</v>
      </c>
      <c r="X7" s="10">
        <f t="shared" si="6"/>
        <v>38</v>
      </c>
      <c r="Y7" s="10">
        <v>40</v>
      </c>
      <c r="Z7" s="10">
        <f t="shared" si="7"/>
        <v>-2</v>
      </c>
      <c r="AA7" s="10">
        <f>SUM(Z4:Z7)</f>
        <v>-4</v>
      </c>
      <c r="AC7" s="21" t="s">
        <v>0</v>
      </c>
      <c r="AD7" s="21">
        <f>AD5-AD6</f>
        <v>-273.5</v>
      </c>
      <c r="AE7" t="s">
        <v>122</v>
      </c>
    </row>
    <row r="8" spans="1:31" thickTop="1" thickBot="1" x14ac:dyDescent="0.3">
      <c r="A8" s="10"/>
      <c r="B8" s="10">
        <v>52</v>
      </c>
      <c r="C8" s="10">
        <f t="shared" si="0"/>
        <v>7</v>
      </c>
      <c r="D8" s="10">
        <f t="shared" si="0"/>
        <v>7</v>
      </c>
      <c r="E8" s="10">
        <f t="shared" si="1"/>
        <v>7</v>
      </c>
      <c r="F8" s="10">
        <f t="shared" si="1"/>
        <v>7</v>
      </c>
      <c r="G8" s="10">
        <v>0</v>
      </c>
      <c r="H8" s="10">
        <v>0</v>
      </c>
      <c r="I8" s="10">
        <v>0</v>
      </c>
      <c r="J8" s="10">
        <f t="shared" si="2"/>
        <v>28</v>
      </c>
      <c r="K8" s="10">
        <f t="shared" si="3"/>
        <v>20</v>
      </c>
      <c r="L8" s="10">
        <f t="shared" si="4"/>
        <v>8</v>
      </c>
      <c r="M8" s="10">
        <f>SUM(L4:L8)</f>
        <v>18</v>
      </c>
      <c r="N8" s="14"/>
      <c r="O8" s="10" t="s">
        <v>133</v>
      </c>
      <c r="P8" s="10">
        <v>40</v>
      </c>
      <c r="Q8" s="10">
        <f t="shared" si="5"/>
        <v>9</v>
      </c>
      <c r="R8" s="10">
        <v>0</v>
      </c>
      <c r="S8" s="10">
        <f t="shared" ref="S8:S9" si="8">18-8</f>
        <v>10</v>
      </c>
      <c r="T8" s="10">
        <f>17-8</f>
        <v>9</v>
      </c>
      <c r="U8" s="10">
        <v>5</v>
      </c>
      <c r="V8" s="10">
        <v>0</v>
      </c>
      <c r="W8" s="10">
        <v>0</v>
      </c>
      <c r="X8" s="10">
        <f t="shared" si="6"/>
        <v>33</v>
      </c>
      <c r="Y8" s="10">
        <v>40</v>
      </c>
      <c r="Z8" s="10">
        <f t="shared" si="7"/>
        <v>-7</v>
      </c>
      <c r="AA8" s="10">
        <f>SUM(Z4:Z8)</f>
        <v>-11</v>
      </c>
    </row>
    <row r="9" spans="1:31" thickTop="1" thickBot="1" x14ac:dyDescent="0.3">
      <c r="A9" s="10"/>
      <c r="B9" s="10">
        <v>1</v>
      </c>
      <c r="C9" s="10">
        <f>20-8-1</f>
        <v>11</v>
      </c>
      <c r="D9" s="10">
        <f>12-10</f>
        <v>2</v>
      </c>
      <c r="E9" s="10">
        <f>16.5-9-1</f>
        <v>6.5</v>
      </c>
      <c r="F9" s="10">
        <f>21-10-2</f>
        <v>9</v>
      </c>
      <c r="G9" s="10">
        <v>0</v>
      </c>
      <c r="H9" s="10">
        <v>0</v>
      </c>
      <c r="I9" s="10">
        <v>0</v>
      </c>
      <c r="J9" s="10">
        <f t="shared" si="2"/>
        <v>28.5</v>
      </c>
      <c r="K9" s="10">
        <f t="shared" si="3"/>
        <v>20</v>
      </c>
      <c r="L9" s="10">
        <f t="shared" si="4"/>
        <v>8.5</v>
      </c>
      <c r="M9" s="10">
        <f>SUM(L4:L9)</f>
        <v>26.5</v>
      </c>
      <c r="N9" s="14"/>
      <c r="O9" s="10"/>
      <c r="P9" s="10">
        <v>41</v>
      </c>
      <c r="Q9" s="10">
        <f t="shared" si="5"/>
        <v>9</v>
      </c>
      <c r="R9" s="10">
        <v>0</v>
      </c>
      <c r="S9" s="10">
        <f t="shared" si="8"/>
        <v>10</v>
      </c>
      <c r="T9" s="10">
        <f t="shared" ref="T9:T13" si="9">17-8</f>
        <v>9</v>
      </c>
      <c r="U9" s="10">
        <v>0</v>
      </c>
      <c r="V9" s="10">
        <v>0</v>
      </c>
      <c r="W9" s="10">
        <v>0</v>
      </c>
      <c r="X9" s="10">
        <f t="shared" si="6"/>
        <v>28</v>
      </c>
      <c r="Y9" s="10">
        <v>40</v>
      </c>
      <c r="Z9" s="10">
        <f t="shared" si="7"/>
        <v>-12</v>
      </c>
      <c r="AA9" s="10">
        <f>SUM(Z4:Z9)</f>
        <v>-23</v>
      </c>
    </row>
    <row r="10" spans="1:31" thickTop="1" thickBot="1" x14ac:dyDescent="0.3">
      <c r="A10" s="10"/>
      <c r="B10" s="10">
        <v>2</v>
      </c>
      <c r="C10" s="10">
        <f>17-9-3</f>
        <v>5</v>
      </c>
      <c r="D10" s="10">
        <f>18-9-2 + 21-19</f>
        <v>9</v>
      </c>
      <c r="E10" s="10">
        <f>16.5-8.5-1</f>
        <v>7</v>
      </c>
      <c r="F10" s="10">
        <f>16-8.5</f>
        <v>7.5</v>
      </c>
      <c r="G10" s="10">
        <f>16-13</f>
        <v>3</v>
      </c>
      <c r="H10" s="10">
        <f>18-15</f>
        <v>3</v>
      </c>
      <c r="I10" s="10">
        <v>0</v>
      </c>
      <c r="J10" s="10">
        <f t="shared" si="2"/>
        <v>34.5</v>
      </c>
      <c r="K10" s="10">
        <f t="shared" si="3"/>
        <v>20</v>
      </c>
      <c r="L10" s="10">
        <f>J10-K10</f>
        <v>14.5</v>
      </c>
      <c r="M10" s="10">
        <f>SUM(L4:L10)</f>
        <v>41</v>
      </c>
      <c r="N10" s="14"/>
      <c r="O10" s="10"/>
      <c r="P10" s="10">
        <v>42</v>
      </c>
      <c r="Q10" s="10">
        <f>17-10</f>
        <v>7</v>
      </c>
      <c r="R10" s="10">
        <v>0</v>
      </c>
      <c r="S10" s="10">
        <f>18-9</f>
        <v>9</v>
      </c>
      <c r="T10" s="10">
        <f>20-9</f>
        <v>11</v>
      </c>
      <c r="U10" s="10">
        <f>17-13</f>
        <v>4</v>
      </c>
      <c r="V10" s="10">
        <v>0</v>
      </c>
      <c r="W10" s="10">
        <f>15.5-8.5</f>
        <v>7</v>
      </c>
      <c r="X10" s="10">
        <f>SUM(Q10:W10)</f>
        <v>38</v>
      </c>
      <c r="Y10" s="10"/>
      <c r="Z10" s="10">
        <f>X10-Y10</f>
        <v>38</v>
      </c>
      <c r="AA10" s="10">
        <f>SUM(Z4:Z10)</f>
        <v>15</v>
      </c>
    </row>
    <row r="11" spans="1:31" thickTop="1" thickBot="1" x14ac:dyDescent="0.3">
      <c r="A11" s="10"/>
      <c r="B11" s="10">
        <v>3</v>
      </c>
      <c r="C11" s="10">
        <v>0</v>
      </c>
      <c r="D11" s="10">
        <v>0</v>
      </c>
      <c r="E11" s="10">
        <v>0</v>
      </c>
      <c r="F11" s="10">
        <v>0</v>
      </c>
      <c r="G11" s="10">
        <v>0</v>
      </c>
      <c r="H11" s="10">
        <v>0</v>
      </c>
      <c r="I11" s="10">
        <v>0</v>
      </c>
      <c r="J11" s="10">
        <f t="shared" si="2"/>
        <v>0</v>
      </c>
      <c r="K11" s="10">
        <f t="shared" si="3"/>
        <v>20</v>
      </c>
      <c r="L11" s="10">
        <f>J11-K11</f>
        <v>-20</v>
      </c>
      <c r="M11" s="10">
        <f>SUM(L4:L11)</f>
        <v>21</v>
      </c>
      <c r="N11" s="14"/>
      <c r="O11" s="10"/>
      <c r="P11" s="24">
        <v>43</v>
      </c>
      <c r="Q11" s="10">
        <f>18-8</f>
        <v>10</v>
      </c>
      <c r="R11" s="10">
        <v>0</v>
      </c>
      <c r="S11" s="10">
        <f>19-8</f>
        <v>11</v>
      </c>
      <c r="T11" s="10">
        <f>18-8</f>
        <v>10</v>
      </c>
      <c r="U11" s="10">
        <f>17-13</f>
        <v>4</v>
      </c>
      <c r="V11" s="10">
        <v>0</v>
      </c>
      <c r="W11" s="10">
        <f>15-7</f>
        <v>8</v>
      </c>
      <c r="X11" s="10">
        <f t="shared" ref="X11:X12" si="10">SUM(Q11:W11)</f>
        <v>43</v>
      </c>
      <c r="Y11" s="10">
        <v>40</v>
      </c>
      <c r="Z11" s="10">
        <f>X11-Y11</f>
        <v>3</v>
      </c>
      <c r="AA11" s="10">
        <f>SUM(Z4:Z11)</f>
        <v>18</v>
      </c>
    </row>
    <row r="12" spans="1:31" thickTop="1" thickBot="1" x14ac:dyDescent="0.3">
      <c r="A12" s="10"/>
      <c r="B12" s="10">
        <v>4</v>
      </c>
      <c r="C12" s="10">
        <v>0</v>
      </c>
      <c r="D12" s="10">
        <v>0</v>
      </c>
      <c r="E12" s="10">
        <v>0</v>
      </c>
      <c r="F12" s="10">
        <v>0</v>
      </c>
      <c r="G12" s="10">
        <v>0</v>
      </c>
      <c r="H12" s="10">
        <v>0</v>
      </c>
      <c r="I12" s="10">
        <v>0</v>
      </c>
      <c r="J12" s="10">
        <f t="shared" ref="J12" si="11">SUM(C12:I12)</f>
        <v>0</v>
      </c>
      <c r="K12" s="10">
        <f t="shared" si="3"/>
        <v>20</v>
      </c>
      <c r="L12" s="10">
        <f>J12-K12</f>
        <v>-20</v>
      </c>
      <c r="M12" s="10">
        <f>SUM(L4:L12)</f>
        <v>1</v>
      </c>
      <c r="N12" s="14"/>
      <c r="O12" s="10" t="s">
        <v>134</v>
      </c>
      <c r="P12" s="10">
        <v>44</v>
      </c>
      <c r="Q12" s="10">
        <f>17-7</f>
        <v>10</v>
      </c>
      <c r="R12" s="10">
        <f>16-7</f>
        <v>9</v>
      </c>
      <c r="S12" s="10">
        <f>14-9</f>
        <v>5</v>
      </c>
      <c r="T12" s="10">
        <v>0</v>
      </c>
      <c r="U12" s="10">
        <v>0</v>
      </c>
      <c r="V12" s="10">
        <v>0</v>
      </c>
      <c r="W12" s="10">
        <v>0</v>
      </c>
      <c r="X12" s="10">
        <f t="shared" si="10"/>
        <v>24</v>
      </c>
      <c r="Y12" s="10">
        <v>40</v>
      </c>
      <c r="Z12" s="10">
        <f>X12-Y12</f>
        <v>-16</v>
      </c>
      <c r="AA12" s="10">
        <f>SUM(Z4:Z12)</f>
        <v>2</v>
      </c>
    </row>
    <row r="13" spans="1:31" thickTop="1" thickBot="1" x14ac:dyDescent="0.3">
      <c r="A13" s="10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4"/>
      <c r="O13" s="10" t="s">
        <v>135</v>
      </c>
      <c r="P13" s="10">
        <v>45</v>
      </c>
      <c r="Q13" s="10">
        <f t="shared" si="5"/>
        <v>9</v>
      </c>
      <c r="R13" s="10">
        <v>0</v>
      </c>
      <c r="S13" s="10">
        <f>18-8</f>
        <v>10</v>
      </c>
      <c r="T13" s="10">
        <f t="shared" si="9"/>
        <v>9</v>
      </c>
      <c r="U13" s="10">
        <v>5</v>
      </c>
      <c r="V13" s="10">
        <v>0</v>
      </c>
      <c r="W13" s="10">
        <v>7</v>
      </c>
      <c r="X13" s="10">
        <f>SUM(Q13:W13)</f>
        <v>40</v>
      </c>
      <c r="Y13" s="10">
        <v>40</v>
      </c>
      <c r="Z13" s="10">
        <f>X13-Y13</f>
        <v>0</v>
      </c>
      <c r="AA13" s="10">
        <f>SUM(Z4:Z13)</f>
        <v>2</v>
      </c>
    </row>
    <row r="14" spans="1:31" thickTop="1" thickBot="1" x14ac:dyDescent="0.3">
      <c r="A14" s="10"/>
      <c r="B14" s="10"/>
      <c r="C14" s="10"/>
      <c r="D14" s="10"/>
      <c r="E14" s="10"/>
      <c r="F14" s="25"/>
      <c r="G14" s="25"/>
      <c r="H14" s="10"/>
      <c r="I14" s="10" t="s">
        <v>2</v>
      </c>
      <c r="J14" s="10">
        <f>SUM(J4:J12)</f>
        <v>181</v>
      </c>
      <c r="K14" s="10"/>
      <c r="L14" s="10"/>
      <c r="M14" s="10"/>
      <c r="N14" s="14"/>
      <c r="O14" s="10"/>
      <c r="P14" s="10">
        <v>46</v>
      </c>
      <c r="Q14" s="10">
        <v>0</v>
      </c>
      <c r="R14" s="10">
        <v>0</v>
      </c>
      <c r="S14" s="10">
        <v>0</v>
      </c>
      <c r="T14" s="10">
        <v>0</v>
      </c>
      <c r="U14" s="10">
        <v>0</v>
      </c>
      <c r="V14" s="10">
        <v>0</v>
      </c>
      <c r="W14" s="10">
        <v>0</v>
      </c>
      <c r="X14" s="10">
        <f>SUM(Q14:W14)</f>
        <v>0</v>
      </c>
      <c r="Y14" s="10">
        <v>0</v>
      </c>
      <c r="Z14" s="10">
        <f>X14-Y14</f>
        <v>0</v>
      </c>
      <c r="AA14" s="10">
        <f>SUM(Z4:Z14)</f>
        <v>2</v>
      </c>
    </row>
    <row r="15" spans="1:31" thickTop="1" thickBot="1" x14ac:dyDescent="0.3">
      <c r="A15" s="10"/>
      <c r="B15" s="10"/>
      <c r="C15" s="10"/>
      <c r="D15" s="10"/>
      <c r="E15" s="10"/>
      <c r="F15" s="10"/>
      <c r="G15" s="10"/>
      <c r="H15" s="10"/>
      <c r="I15" s="10" t="s">
        <v>3</v>
      </c>
      <c r="J15" s="10">
        <f>SUM(K4:K12)</f>
        <v>180</v>
      </c>
      <c r="K15" s="10"/>
      <c r="L15" s="10"/>
      <c r="M15" s="10"/>
      <c r="N15" s="14"/>
      <c r="O15" s="10"/>
      <c r="P15" s="10"/>
      <c r="Q15" s="10"/>
      <c r="R15" s="10"/>
      <c r="S15" s="10"/>
      <c r="T15" s="10"/>
      <c r="U15" s="10"/>
      <c r="V15" s="10"/>
      <c r="W15" s="10" t="s">
        <v>2</v>
      </c>
      <c r="X15" s="10">
        <f>SUM(X4:X14)</f>
        <v>362</v>
      </c>
      <c r="Y15" s="10"/>
      <c r="Z15" s="10"/>
      <c r="AA15" s="10"/>
    </row>
    <row r="16" spans="1:31" thickTop="1" thickBot="1" x14ac:dyDescent="0.3">
      <c r="A16" s="10"/>
      <c r="B16" s="10"/>
      <c r="C16" s="10"/>
      <c r="D16" s="10"/>
      <c r="E16" s="10"/>
      <c r="F16" s="10"/>
      <c r="G16" s="10"/>
      <c r="H16" s="10"/>
      <c r="I16" s="10" t="s">
        <v>0</v>
      </c>
      <c r="J16" s="10">
        <f>J14-J15</f>
        <v>1</v>
      </c>
      <c r="K16" s="10"/>
      <c r="L16" s="10"/>
      <c r="M16" s="10"/>
      <c r="N16" s="14"/>
      <c r="O16" s="10"/>
      <c r="P16" s="10"/>
      <c r="Q16" s="10"/>
      <c r="R16" s="10"/>
      <c r="S16" s="10"/>
      <c r="T16" s="10"/>
      <c r="U16" s="10"/>
      <c r="V16" s="10"/>
      <c r="W16" s="10" t="s">
        <v>3</v>
      </c>
      <c r="X16" s="10">
        <f>SUM(Y4:Y14)</f>
        <v>360</v>
      </c>
      <c r="Y16" s="10"/>
      <c r="Z16" s="10"/>
      <c r="AA16" s="10"/>
    </row>
    <row r="17" spans="1:27" thickTop="1" thickBot="1" x14ac:dyDescent="0.3">
      <c r="A17" s="10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4"/>
      <c r="O17" s="10"/>
      <c r="P17" s="10"/>
      <c r="Q17" s="10"/>
      <c r="R17" s="10"/>
      <c r="S17" s="10"/>
      <c r="T17" s="10"/>
      <c r="U17" s="10"/>
      <c r="V17" s="10"/>
      <c r="W17" s="10" t="s">
        <v>0</v>
      </c>
      <c r="X17" s="10">
        <f>X15-X16</f>
        <v>2</v>
      </c>
      <c r="Y17" s="10"/>
      <c r="Z17" s="10"/>
      <c r="AA17" s="10"/>
    </row>
    <row r="18" spans="1:27" s="21" customFormat="1" thickTop="1" thickBot="1" x14ac:dyDescent="0.3">
      <c r="A18" s="14"/>
      <c r="B18" s="14" t="s">
        <v>107</v>
      </c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 t="s">
        <v>106</v>
      </c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</row>
    <row r="19" spans="1:27" thickTop="1" thickBot="1" x14ac:dyDescent="0.3">
      <c r="A19" s="10"/>
      <c r="B19" s="10" t="s">
        <v>6</v>
      </c>
      <c r="C19" s="10" t="s">
        <v>7</v>
      </c>
      <c r="D19" s="10" t="s">
        <v>8</v>
      </c>
      <c r="E19" s="10" t="s">
        <v>9</v>
      </c>
      <c r="F19" s="10" t="s">
        <v>10</v>
      </c>
      <c r="G19" s="10" t="s">
        <v>11</v>
      </c>
      <c r="H19" s="10" t="s">
        <v>12</v>
      </c>
      <c r="I19" s="10" t="s">
        <v>13</v>
      </c>
      <c r="J19" s="10" t="s">
        <v>14</v>
      </c>
      <c r="K19" s="10" t="s">
        <v>15</v>
      </c>
      <c r="L19" s="10" t="s">
        <v>0</v>
      </c>
      <c r="M19" s="10" t="s">
        <v>1</v>
      </c>
      <c r="N19" s="14"/>
      <c r="O19" s="10"/>
      <c r="P19" s="10" t="s">
        <v>6</v>
      </c>
      <c r="Q19" s="10" t="s">
        <v>7</v>
      </c>
      <c r="R19" s="10" t="s">
        <v>8</v>
      </c>
      <c r="S19" s="10" t="s">
        <v>9</v>
      </c>
      <c r="T19" s="10" t="s">
        <v>10</v>
      </c>
      <c r="U19" s="10" t="s">
        <v>11</v>
      </c>
      <c r="V19" s="10" t="s">
        <v>12</v>
      </c>
      <c r="W19" s="10" t="s">
        <v>13</v>
      </c>
      <c r="X19" s="10" t="s">
        <v>14</v>
      </c>
      <c r="Y19" s="10" t="s">
        <v>15</v>
      </c>
      <c r="Z19" s="10" t="s">
        <v>0</v>
      </c>
      <c r="AA19" s="10" t="s">
        <v>1</v>
      </c>
    </row>
    <row r="20" spans="1:27" thickTop="1" thickBot="1" x14ac:dyDescent="0.3">
      <c r="A20" s="10"/>
      <c r="B20" s="10">
        <v>7</v>
      </c>
      <c r="C20" s="10">
        <v>4</v>
      </c>
      <c r="D20" s="10">
        <v>4</v>
      </c>
      <c r="E20" s="10">
        <v>4</v>
      </c>
      <c r="F20" s="10">
        <v>0</v>
      </c>
      <c r="G20" s="10">
        <v>6</v>
      </c>
      <c r="H20" s="10">
        <v>0</v>
      </c>
      <c r="I20" s="10">
        <v>5</v>
      </c>
      <c r="J20" s="10">
        <f>SUM(C20:I20)</f>
        <v>23</v>
      </c>
      <c r="K20" s="10">
        <v>20</v>
      </c>
      <c r="L20" s="10">
        <f>J20-K20</f>
        <v>3</v>
      </c>
      <c r="M20" s="10">
        <f>SUM(L20)</f>
        <v>3</v>
      </c>
      <c r="N20" s="14"/>
      <c r="O20" s="10"/>
      <c r="P20" s="10">
        <v>47</v>
      </c>
      <c r="Q20" s="10">
        <f>17-8</f>
        <v>9</v>
      </c>
      <c r="R20" s="10">
        <v>0</v>
      </c>
      <c r="S20" s="10">
        <f>18-8</f>
        <v>10</v>
      </c>
      <c r="T20" s="10">
        <f>17-8</f>
        <v>9</v>
      </c>
      <c r="U20" s="10">
        <f>18-13</f>
        <v>5</v>
      </c>
      <c r="V20" s="10">
        <v>0</v>
      </c>
      <c r="W20" s="10">
        <f>15-8</f>
        <v>7</v>
      </c>
      <c r="X20" s="10">
        <f t="shared" ref="X20:X26" si="12">SUM(Q20:W20)</f>
        <v>40</v>
      </c>
      <c r="Y20" s="10">
        <v>40</v>
      </c>
      <c r="Z20" s="10">
        <f>X20-Y20</f>
        <v>0</v>
      </c>
      <c r="AA20" s="10">
        <f>SUM(Z20)</f>
        <v>0</v>
      </c>
    </row>
    <row r="21" spans="1:27" thickTop="1" thickBot="1" x14ac:dyDescent="0.3">
      <c r="A21" s="10"/>
      <c r="B21" s="10">
        <v>8</v>
      </c>
      <c r="C21" s="10">
        <v>4</v>
      </c>
      <c r="D21" s="10">
        <v>4</v>
      </c>
      <c r="E21" s="10">
        <v>4</v>
      </c>
      <c r="F21" s="10">
        <v>0</v>
      </c>
      <c r="G21" s="10">
        <v>6</v>
      </c>
      <c r="H21" s="10">
        <v>0</v>
      </c>
      <c r="I21" s="10">
        <v>5</v>
      </c>
      <c r="J21" s="10">
        <f t="shared" ref="J21:J27" si="13">SUM(C21:I21)</f>
        <v>23</v>
      </c>
      <c r="K21" s="10">
        <v>20</v>
      </c>
      <c r="L21" s="10">
        <f t="shared" ref="L21:L25" si="14">J21-K21</f>
        <v>3</v>
      </c>
      <c r="M21" s="10">
        <f>SUM(L20:L21)</f>
        <v>6</v>
      </c>
      <c r="N21" s="14"/>
      <c r="O21" s="10"/>
      <c r="P21" s="10">
        <v>48</v>
      </c>
      <c r="Q21" s="10">
        <f>17-8</f>
        <v>9</v>
      </c>
      <c r="R21" s="10">
        <v>0</v>
      </c>
      <c r="S21" s="10">
        <f>18-8</f>
        <v>10</v>
      </c>
      <c r="T21" s="10">
        <f>17-8</f>
        <v>9</v>
      </c>
      <c r="U21" s="10">
        <f>18-13</f>
        <v>5</v>
      </c>
      <c r="V21" s="10">
        <v>0</v>
      </c>
      <c r="W21" s="10">
        <f>15-8</f>
        <v>7</v>
      </c>
      <c r="X21" s="10">
        <f t="shared" si="12"/>
        <v>40</v>
      </c>
      <c r="Y21" s="10">
        <v>40</v>
      </c>
      <c r="Z21" s="10">
        <f>X21-Y21</f>
        <v>0</v>
      </c>
      <c r="AA21" s="10">
        <f>SUM(Z21)</f>
        <v>0</v>
      </c>
    </row>
    <row r="22" spans="1:27" thickTop="1" thickBot="1" x14ac:dyDescent="0.3">
      <c r="A22" s="10"/>
      <c r="B22" s="10">
        <v>9</v>
      </c>
      <c r="C22" s="10">
        <v>4</v>
      </c>
      <c r="D22" s="10">
        <v>4</v>
      </c>
      <c r="E22" s="10">
        <v>4</v>
      </c>
      <c r="F22" s="10">
        <v>0</v>
      </c>
      <c r="G22" s="10">
        <v>6</v>
      </c>
      <c r="H22" s="10">
        <v>0</v>
      </c>
      <c r="I22" s="10">
        <v>5</v>
      </c>
      <c r="J22" s="10">
        <f t="shared" si="13"/>
        <v>23</v>
      </c>
      <c r="K22" s="10">
        <v>20</v>
      </c>
      <c r="L22" s="10">
        <f t="shared" si="14"/>
        <v>3</v>
      </c>
      <c r="M22" s="10">
        <f>SUM(L20:L22)</f>
        <v>9</v>
      </c>
      <c r="N22" s="14"/>
      <c r="O22" s="10" t="s">
        <v>136</v>
      </c>
      <c r="P22" s="10">
        <v>49</v>
      </c>
      <c r="Q22" s="10">
        <f>17-8</f>
        <v>9</v>
      </c>
      <c r="R22" s="10">
        <v>0</v>
      </c>
      <c r="S22" s="10">
        <f>18-8</f>
        <v>10</v>
      </c>
      <c r="T22" s="10">
        <f>17-8</f>
        <v>9</v>
      </c>
      <c r="U22" s="10">
        <f>18-13</f>
        <v>5</v>
      </c>
      <c r="V22" s="10">
        <v>0</v>
      </c>
      <c r="W22" s="10">
        <f>15-8</f>
        <v>7</v>
      </c>
      <c r="X22" s="10">
        <f t="shared" si="12"/>
        <v>40</v>
      </c>
      <c r="Y22" s="10">
        <v>40</v>
      </c>
      <c r="Z22" s="10">
        <f>X22-Y22</f>
        <v>0</v>
      </c>
      <c r="AA22" s="10">
        <f>SUM(Z22)</f>
        <v>0</v>
      </c>
    </row>
    <row r="23" spans="1:27" thickTop="1" thickBot="1" x14ac:dyDescent="0.3">
      <c r="A23" s="10"/>
      <c r="B23" s="10">
        <v>11</v>
      </c>
      <c r="C23" s="10">
        <v>4</v>
      </c>
      <c r="D23" s="10">
        <v>4</v>
      </c>
      <c r="E23" s="10">
        <v>4</v>
      </c>
      <c r="F23" s="10">
        <v>0</v>
      </c>
      <c r="G23" s="10">
        <v>6</v>
      </c>
      <c r="H23" s="10">
        <v>0</v>
      </c>
      <c r="I23" s="10">
        <v>5</v>
      </c>
      <c r="J23" s="10">
        <f t="shared" si="13"/>
        <v>23</v>
      </c>
      <c r="K23" s="10">
        <v>20</v>
      </c>
      <c r="L23" s="10">
        <f t="shared" si="14"/>
        <v>3</v>
      </c>
      <c r="M23" s="10">
        <f>SUM(L20:L23)</f>
        <v>12</v>
      </c>
      <c r="N23" s="14"/>
      <c r="O23" s="10"/>
      <c r="P23" s="10">
        <v>50</v>
      </c>
      <c r="Q23" s="10">
        <f>17-8</f>
        <v>9</v>
      </c>
      <c r="R23" s="10">
        <v>0</v>
      </c>
      <c r="S23" s="10">
        <f>18-8</f>
        <v>10</v>
      </c>
      <c r="T23" s="10">
        <f>17-8</f>
        <v>9</v>
      </c>
      <c r="U23" s="10">
        <f>18-13</f>
        <v>5</v>
      </c>
      <c r="V23" s="10">
        <v>0</v>
      </c>
      <c r="W23" s="10">
        <f>15-8</f>
        <v>7</v>
      </c>
      <c r="X23" s="10">
        <f t="shared" si="12"/>
        <v>40</v>
      </c>
      <c r="Y23" s="10">
        <v>40</v>
      </c>
      <c r="Z23" s="10">
        <f>X23-Y23</f>
        <v>0</v>
      </c>
      <c r="AA23" s="10">
        <f>SUM(Z23)</f>
        <v>0</v>
      </c>
    </row>
    <row r="24" spans="1:27" thickTop="1" thickBot="1" x14ac:dyDescent="0.3">
      <c r="A24" s="10"/>
      <c r="B24" s="10">
        <v>12</v>
      </c>
      <c r="C24" s="10">
        <v>4</v>
      </c>
      <c r="D24" s="10">
        <v>5</v>
      </c>
      <c r="E24" s="10">
        <f>3+3</f>
        <v>6</v>
      </c>
      <c r="F24" s="10">
        <v>0</v>
      </c>
      <c r="G24" s="10">
        <v>6</v>
      </c>
      <c r="H24" s="10">
        <v>0</v>
      </c>
      <c r="I24" s="10">
        <v>5</v>
      </c>
      <c r="J24" s="10">
        <f t="shared" si="13"/>
        <v>26</v>
      </c>
      <c r="K24" s="10">
        <v>20</v>
      </c>
      <c r="L24" s="10">
        <f t="shared" si="14"/>
        <v>6</v>
      </c>
      <c r="M24" s="10">
        <f>SUM(L20:L24)</f>
        <v>18</v>
      </c>
      <c r="N24" s="14"/>
      <c r="O24" s="10"/>
      <c r="P24" s="10">
        <v>51</v>
      </c>
      <c r="Q24" s="10">
        <f>17-8</f>
        <v>9</v>
      </c>
      <c r="R24" s="10">
        <v>0</v>
      </c>
      <c r="S24" s="10">
        <f>18-8</f>
        <v>10</v>
      </c>
      <c r="T24" s="10">
        <f>17-8</f>
        <v>9</v>
      </c>
      <c r="U24" s="10">
        <v>0</v>
      </c>
      <c r="V24" s="10">
        <v>0</v>
      </c>
      <c r="W24" s="10">
        <v>0</v>
      </c>
      <c r="X24" s="10">
        <f t="shared" si="12"/>
        <v>28</v>
      </c>
      <c r="Y24" s="10">
        <v>40</v>
      </c>
      <c r="Z24" s="10">
        <f>X24-Y24</f>
        <v>-12</v>
      </c>
      <c r="AA24" s="10">
        <f>SUM(Z24)</f>
        <v>-12</v>
      </c>
    </row>
    <row r="25" spans="1:27" thickTop="1" thickBot="1" x14ac:dyDescent="0.3">
      <c r="A25" s="10"/>
      <c r="B25" s="10">
        <v>13</v>
      </c>
      <c r="C25" s="10">
        <v>4</v>
      </c>
      <c r="D25" s="10">
        <v>5</v>
      </c>
      <c r="E25" s="10">
        <v>5</v>
      </c>
      <c r="F25" s="10">
        <v>0</v>
      </c>
      <c r="G25" s="10">
        <v>6</v>
      </c>
      <c r="H25" s="10">
        <v>0</v>
      </c>
      <c r="I25" s="10">
        <v>0</v>
      </c>
      <c r="J25" s="10">
        <f t="shared" si="13"/>
        <v>20</v>
      </c>
      <c r="K25" s="10">
        <v>20</v>
      </c>
      <c r="L25" s="10">
        <f t="shared" si="14"/>
        <v>0</v>
      </c>
      <c r="M25" s="10">
        <f>SUM(L20:L25)</f>
        <v>18</v>
      </c>
      <c r="N25" s="14"/>
      <c r="O25" s="10"/>
      <c r="P25" s="10">
        <v>52</v>
      </c>
      <c r="Q25" s="10">
        <v>0</v>
      </c>
      <c r="R25" s="10">
        <v>0</v>
      </c>
      <c r="S25" s="10">
        <v>0</v>
      </c>
      <c r="T25" s="10">
        <v>0</v>
      </c>
      <c r="U25" s="10">
        <v>0</v>
      </c>
      <c r="V25" s="10">
        <v>0</v>
      </c>
      <c r="W25" s="10">
        <v>0</v>
      </c>
      <c r="X25" s="10">
        <f t="shared" si="12"/>
        <v>0</v>
      </c>
      <c r="Y25" s="10">
        <v>0</v>
      </c>
      <c r="Z25" s="10">
        <f t="shared" ref="Z25" si="15">X25-Y25</f>
        <v>0</v>
      </c>
      <c r="AA25" s="10">
        <f>SUM(Z20:Z25)</f>
        <v>-12</v>
      </c>
    </row>
    <row r="26" spans="1:27" thickTop="1" thickBot="1" x14ac:dyDescent="0.3">
      <c r="A26" s="10"/>
      <c r="B26" s="10">
        <v>14</v>
      </c>
      <c r="C26" s="10">
        <v>0</v>
      </c>
      <c r="D26" s="10">
        <v>0</v>
      </c>
      <c r="E26" s="10">
        <v>0</v>
      </c>
      <c r="F26" s="10">
        <f>17-9-1</f>
        <v>7</v>
      </c>
      <c r="G26" s="10">
        <v>6</v>
      </c>
      <c r="H26" s="10">
        <f>21-17</f>
        <v>4</v>
      </c>
      <c r="I26" s="10">
        <f>16.5-11.5</f>
        <v>5</v>
      </c>
      <c r="J26" s="10">
        <f>SUM(C26:I26)</f>
        <v>22</v>
      </c>
      <c r="K26" s="10">
        <v>20</v>
      </c>
      <c r="L26" s="10">
        <f>J26-K26</f>
        <v>2</v>
      </c>
      <c r="M26" s="10">
        <f>SUM(L20:L26)</f>
        <v>20</v>
      </c>
      <c r="N26" s="14"/>
      <c r="O26" s="10" t="s">
        <v>137</v>
      </c>
      <c r="P26" s="10">
        <v>1</v>
      </c>
      <c r="Q26" s="10">
        <f t="shared" ref="Q26:Q29" si="16">17-8</f>
        <v>9</v>
      </c>
      <c r="R26" s="10">
        <v>0</v>
      </c>
      <c r="S26" s="10">
        <f t="shared" ref="S26:S29" si="17">18-8</f>
        <v>10</v>
      </c>
      <c r="T26" s="10">
        <f>17-8</f>
        <v>9</v>
      </c>
      <c r="U26" s="10">
        <f t="shared" ref="U26:U29" si="18">18-13</f>
        <v>5</v>
      </c>
      <c r="V26" s="10">
        <v>0</v>
      </c>
      <c r="W26" s="10">
        <f>15-8</f>
        <v>7</v>
      </c>
      <c r="X26" s="10">
        <f t="shared" si="12"/>
        <v>40</v>
      </c>
      <c r="Y26" s="10">
        <v>40</v>
      </c>
      <c r="Z26" s="10">
        <f t="shared" ref="Z26" si="19">X26-Y26</f>
        <v>0</v>
      </c>
      <c r="AA26" s="10">
        <f>SUM(Z21:Z26)</f>
        <v>-12</v>
      </c>
    </row>
    <row r="27" spans="1:27" thickTop="1" thickBot="1" x14ac:dyDescent="0.3">
      <c r="A27" s="10"/>
      <c r="B27" s="10">
        <v>15</v>
      </c>
      <c r="C27" s="10">
        <f>17-10-1</f>
        <v>6</v>
      </c>
      <c r="D27" s="10">
        <f>17-10-1</f>
        <v>6</v>
      </c>
      <c r="E27" s="10">
        <f>18-9-1</f>
        <v>8</v>
      </c>
      <c r="F27" s="10">
        <f>16-9</f>
        <v>7</v>
      </c>
      <c r="G27" s="10">
        <f>14-9</f>
        <v>5</v>
      </c>
      <c r="H27" s="10">
        <v>0</v>
      </c>
      <c r="I27" s="10">
        <v>0</v>
      </c>
      <c r="J27" s="10">
        <f t="shared" si="13"/>
        <v>32</v>
      </c>
      <c r="K27" s="10">
        <v>20</v>
      </c>
      <c r="L27" s="10">
        <f>J27-K27</f>
        <v>12</v>
      </c>
      <c r="M27" s="10">
        <f>SUM(L20:L27)</f>
        <v>32</v>
      </c>
      <c r="N27" s="14"/>
      <c r="O27" s="10"/>
      <c r="P27" s="10">
        <v>2</v>
      </c>
      <c r="Q27" s="10">
        <f t="shared" si="16"/>
        <v>9</v>
      </c>
      <c r="R27" s="10">
        <v>0</v>
      </c>
      <c r="S27" s="10">
        <f t="shared" si="17"/>
        <v>10</v>
      </c>
      <c r="T27" s="10">
        <f>17-8</f>
        <v>9</v>
      </c>
      <c r="U27" s="10">
        <f t="shared" si="18"/>
        <v>5</v>
      </c>
      <c r="V27" s="10">
        <v>0</v>
      </c>
      <c r="W27" s="10">
        <f>15-8</f>
        <v>7</v>
      </c>
      <c r="X27" s="10">
        <f t="shared" ref="X27:X28" si="20">SUM(Q27:W27)</f>
        <v>40</v>
      </c>
      <c r="Y27" s="10">
        <v>40</v>
      </c>
      <c r="Z27" s="10">
        <f>X27-Y27</f>
        <v>0</v>
      </c>
      <c r="AA27" s="10">
        <f>SUM(Z20:Z27)</f>
        <v>-12</v>
      </c>
    </row>
    <row r="28" spans="1:27" thickTop="1" thickBot="1" x14ac:dyDescent="0.3">
      <c r="A28" s="10"/>
      <c r="B28" s="10">
        <v>16</v>
      </c>
      <c r="C28" s="10">
        <f>12.5-9</f>
        <v>3.5</v>
      </c>
      <c r="D28" s="10">
        <f>12-9.5+16-13.5</f>
        <v>5</v>
      </c>
      <c r="E28" s="10">
        <f>12.5-9.5+16.5-13.5</f>
        <v>6</v>
      </c>
      <c r="F28" s="10">
        <v>0</v>
      </c>
      <c r="G28" s="10">
        <f>12.5-9.5+16.5-13.5</f>
        <v>6</v>
      </c>
      <c r="H28" s="10">
        <v>0</v>
      </c>
      <c r="I28" s="10">
        <v>0</v>
      </c>
      <c r="J28" s="10">
        <f t="shared" ref="J28" si="21">SUM(C28:I28)</f>
        <v>20.5</v>
      </c>
      <c r="K28" s="10">
        <v>20</v>
      </c>
      <c r="L28" s="10">
        <f>J28-K28</f>
        <v>0.5</v>
      </c>
      <c r="M28" s="10">
        <f>SUM(L20:L28)</f>
        <v>32.5</v>
      </c>
      <c r="N28" s="14"/>
      <c r="O28" s="10"/>
      <c r="P28" s="10">
        <v>3</v>
      </c>
      <c r="Q28" s="10">
        <f t="shared" si="16"/>
        <v>9</v>
      </c>
      <c r="R28" s="10">
        <v>0</v>
      </c>
      <c r="S28" s="10">
        <f t="shared" si="17"/>
        <v>10</v>
      </c>
      <c r="T28" s="10">
        <f>17-8</f>
        <v>9</v>
      </c>
      <c r="U28" s="10">
        <f t="shared" si="18"/>
        <v>5</v>
      </c>
      <c r="V28" s="10">
        <v>0</v>
      </c>
      <c r="W28" s="10">
        <f>15-8</f>
        <v>7</v>
      </c>
      <c r="X28" s="10">
        <f t="shared" si="20"/>
        <v>40</v>
      </c>
      <c r="Y28" s="10">
        <v>40</v>
      </c>
      <c r="Z28" s="10">
        <f>X28-Y28</f>
        <v>0</v>
      </c>
      <c r="AA28" s="10">
        <f>SUM(Z20:Z28)</f>
        <v>-12</v>
      </c>
    </row>
    <row r="29" spans="1:27" thickTop="1" thickBot="1" x14ac:dyDescent="0.3">
      <c r="A29" s="10"/>
      <c r="B29" s="10"/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4"/>
      <c r="O29" s="10"/>
      <c r="P29" s="10">
        <v>4</v>
      </c>
      <c r="Q29" s="10">
        <f t="shared" si="16"/>
        <v>9</v>
      </c>
      <c r="R29" s="10">
        <v>0</v>
      </c>
      <c r="S29" s="10">
        <f t="shared" si="17"/>
        <v>10</v>
      </c>
      <c r="T29" s="10">
        <f>17-8</f>
        <v>9</v>
      </c>
      <c r="U29" s="10">
        <f t="shared" si="18"/>
        <v>5</v>
      </c>
      <c r="V29" s="10">
        <v>0</v>
      </c>
      <c r="W29" s="10">
        <f>15-8</f>
        <v>7</v>
      </c>
      <c r="X29" s="10">
        <f>SUM(Q29:W29)</f>
        <v>40</v>
      </c>
      <c r="Y29" s="10">
        <v>40</v>
      </c>
      <c r="Z29" s="10">
        <f>X29-Y29</f>
        <v>0</v>
      </c>
      <c r="AA29" s="10">
        <f>SUM(Z19:Z29)</f>
        <v>-12</v>
      </c>
    </row>
    <row r="30" spans="1:27" thickTop="1" thickBot="1" x14ac:dyDescent="0.3">
      <c r="A30" s="10"/>
      <c r="B30" s="10"/>
      <c r="C30" s="10"/>
      <c r="D30" s="10"/>
      <c r="E30" s="10"/>
      <c r="F30" s="25"/>
      <c r="G30" s="25"/>
      <c r="H30" s="10"/>
      <c r="I30" s="10" t="s">
        <v>2</v>
      </c>
      <c r="J30" s="10">
        <f>SUM(J20:J28)</f>
        <v>212.5</v>
      </c>
      <c r="K30" s="10"/>
      <c r="L30" s="10"/>
      <c r="M30" s="10"/>
      <c r="N30" s="14"/>
      <c r="O30" s="10"/>
      <c r="P30" s="10">
        <v>5</v>
      </c>
      <c r="Q30" s="10">
        <v>5</v>
      </c>
      <c r="R30" s="10">
        <v>5</v>
      </c>
      <c r="S30" s="10">
        <v>5</v>
      </c>
      <c r="T30" s="10">
        <v>5</v>
      </c>
      <c r="U30" s="10">
        <v>5</v>
      </c>
      <c r="V30" s="10">
        <v>5</v>
      </c>
      <c r="W30" s="10">
        <v>5</v>
      </c>
      <c r="X30" s="10">
        <f>SUM(Q30:W30)</f>
        <v>35</v>
      </c>
      <c r="Y30" s="10">
        <v>0</v>
      </c>
      <c r="Z30" s="10">
        <f>X30-Y30</f>
        <v>35</v>
      </c>
      <c r="AA30" s="10">
        <f>SUM(Z20:Z30)</f>
        <v>23</v>
      </c>
    </row>
    <row r="31" spans="1:27" thickTop="1" thickBot="1" x14ac:dyDescent="0.3">
      <c r="A31" s="10"/>
      <c r="B31" s="10"/>
      <c r="C31" s="10"/>
      <c r="D31" s="10"/>
      <c r="E31" s="10"/>
      <c r="F31" s="10"/>
      <c r="G31" s="10"/>
      <c r="H31" s="10"/>
      <c r="I31" s="10" t="s">
        <v>3</v>
      </c>
      <c r="J31" s="10">
        <f>SUM(K20:K28)</f>
        <v>180</v>
      </c>
      <c r="K31" s="10"/>
      <c r="L31" s="10"/>
      <c r="M31" s="10"/>
      <c r="N31" s="14"/>
      <c r="O31" s="10"/>
      <c r="P31" s="10"/>
      <c r="Q31" s="10"/>
      <c r="R31" s="10"/>
      <c r="S31" s="10"/>
      <c r="T31" s="10"/>
      <c r="U31" s="10"/>
      <c r="V31" s="10"/>
      <c r="W31" s="10" t="s">
        <v>2</v>
      </c>
      <c r="X31" s="10">
        <f>SUM(X20:X30)</f>
        <v>383</v>
      </c>
      <c r="Y31" s="10"/>
      <c r="Z31" s="10"/>
      <c r="AA31" s="10"/>
    </row>
    <row r="32" spans="1:27" thickTop="1" thickBot="1" x14ac:dyDescent="0.3">
      <c r="A32" s="10"/>
      <c r="B32" s="10"/>
      <c r="C32" s="10"/>
      <c r="D32" s="10"/>
      <c r="E32" s="10"/>
      <c r="F32" s="10"/>
      <c r="G32" s="10"/>
      <c r="H32" s="10"/>
      <c r="I32" s="10" t="s">
        <v>0</v>
      </c>
      <c r="J32" s="10">
        <f>J30-J31</f>
        <v>32.5</v>
      </c>
      <c r="K32" s="10"/>
      <c r="L32" s="10"/>
      <c r="M32" s="10"/>
      <c r="N32" s="14"/>
      <c r="O32" s="10"/>
      <c r="P32" s="10"/>
      <c r="Q32" s="10"/>
      <c r="R32" s="10"/>
      <c r="S32" s="10"/>
      <c r="T32" s="10"/>
      <c r="U32" s="10"/>
      <c r="V32" s="10"/>
      <c r="W32" s="10" t="s">
        <v>3</v>
      </c>
      <c r="X32" s="10">
        <f>SUM(Y20:Y30)</f>
        <v>360</v>
      </c>
      <c r="Y32" s="10"/>
      <c r="Z32" s="10"/>
      <c r="AA32" s="10"/>
    </row>
    <row r="33" spans="1:27" thickTop="1" thickBot="1" x14ac:dyDescent="0.3">
      <c r="A33" s="10"/>
      <c r="B33" s="10"/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4"/>
      <c r="O33" s="10"/>
      <c r="P33" s="10"/>
      <c r="Q33" s="10"/>
      <c r="R33" s="10"/>
      <c r="S33" s="10"/>
      <c r="T33" s="10"/>
      <c r="U33" s="10"/>
      <c r="V33" s="10"/>
      <c r="W33" s="10" t="s">
        <v>0</v>
      </c>
      <c r="X33" s="10">
        <f>X31-X32</f>
        <v>23</v>
      </c>
      <c r="Y33" s="10"/>
      <c r="Z33" s="10"/>
      <c r="AA33" s="10"/>
    </row>
    <row r="34" spans="1:27" s="21" customFormat="1" thickTop="1" thickBot="1" x14ac:dyDescent="0.3">
      <c r="A34" s="14"/>
      <c r="B34" s="14" t="s">
        <v>108</v>
      </c>
      <c r="C34" s="14"/>
      <c r="D34" s="14"/>
      <c r="E34" s="14"/>
      <c r="F34" s="14"/>
      <c r="G34" s="14"/>
      <c r="H34" s="14"/>
      <c r="I34" s="14"/>
      <c r="J34" s="14"/>
      <c r="K34" s="14"/>
      <c r="L34" s="14"/>
      <c r="M34" s="14"/>
      <c r="N34" s="14"/>
      <c r="O34" s="14"/>
      <c r="P34" s="14" t="s">
        <v>107</v>
      </c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</row>
    <row r="35" spans="1:27" thickTop="1" thickBot="1" x14ac:dyDescent="0.3">
      <c r="A35" s="10"/>
      <c r="B35" s="10" t="s">
        <v>6</v>
      </c>
      <c r="C35" s="10" t="s">
        <v>7</v>
      </c>
      <c r="D35" s="10" t="s">
        <v>8</v>
      </c>
      <c r="E35" s="10" t="s">
        <v>9</v>
      </c>
      <c r="F35" s="10" t="s">
        <v>10</v>
      </c>
      <c r="G35" s="10" t="s">
        <v>11</v>
      </c>
      <c r="H35" s="10" t="s">
        <v>12</v>
      </c>
      <c r="I35" s="10" t="s">
        <v>13</v>
      </c>
      <c r="J35" s="10" t="s">
        <v>14</v>
      </c>
      <c r="K35" s="10" t="s">
        <v>15</v>
      </c>
      <c r="L35" s="10" t="s">
        <v>0</v>
      </c>
      <c r="M35" s="10" t="s">
        <v>1</v>
      </c>
      <c r="N35" s="14"/>
      <c r="O35" s="10"/>
      <c r="P35" s="10" t="s">
        <v>6</v>
      </c>
      <c r="Q35" s="10" t="s">
        <v>7</v>
      </c>
      <c r="R35" s="10" t="s">
        <v>8</v>
      </c>
      <c r="S35" s="10" t="s">
        <v>9</v>
      </c>
      <c r="T35" s="10" t="s">
        <v>10</v>
      </c>
      <c r="U35" s="10" t="s">
        <v>11</v>
      </c>
      <c r="V35" s="10" t="s">
        <v>12</v>
      </c>
      <c r="W35" s="10" t="s">
        <v>13</v>
      </c>
      <c r="X35" s="10" t="s">
        <v>14</v>
      </c>
      <c r="Y35" s="10" t="s">
        <v>15</v>
      </c>
      <c r="Z35" s="10" t="s">
        <v>0</v>
      </c>
      <c r="AA35" s="10" t="s">
        <v>1</v>
      </c>
    </row>
    <row r="36" spans="1:27" thickTop="1" thickBot="1" x14ac:dyDescent="0.3">
      <c r="A36" s="10"/>
      <c r="B36" s="10">
        <v>17</v>
      </c>
      <c r="C36" s="10">
        <f>16-14</f>
        <v>2</v>
      </c>
      <c r="D36" s="10">
        <f>17-10</f>
        <v>7</v>
      </c>
      <c r="E36" s="10">
        <f>18-9</f>
        <v>9</v>
      </c>
      <c r="F36" s="10">
        <f>19-17</f>
        <v>2</v>
      </c>
      <c r="G36" s="10">
        <f>17-9-1</f>
        <v>7</v>
      </c>
      <c r="H36" s="10">
        <f>15-10</f>
        <v>5</v>
      </c>
      <c r="I36" s="10">
        <v>2</v>
      </c>
      <c r="J36" s="10">
        <f>SUM(C36:I36)</f>
        <v>34</v>
      </c>
      <c r="K36" s="10">
        <v>20</v>
      </c>
      <c r="L36" s="10">
        <f>J36-K36</f>
        <v>14</v>
      </c>
      <c r="M36" s="10">
        <f>SUM(L36)</f>
        <v>14</v>
      </c>
      <c r="N36" s="14"/>
      <c r="O36" s="10" t="s">
        <v>138</v>
      </c>
      <c r="P36" s="10">
        <v>6</v>
      </c>
      <c r="Q36" s="10">
        <f>17-8</f>
        <v>9</v>
      </c>
      <c r="R36" s="10">
        <v>0</v>
      </c>
      <c r="S36" s="10">
        <f>18-8</f>
        <v>10</v>
      </c>
      <c r="T36" s="10">
        <f>17-8</f>
        <v>9</v>
      </c>
      <c r="U36" s="10">
        <f>18-13</f>
        <v>5</v>
      </c>
      <c r="V36" s="10">
        <v>0</v>
      </c>
      <c r="W36" s="10">
        <f>15-8</f>
        <v>7</v>
      </c>
      <c r="X36" s="10">
        <f>SUM(Q36:W36)</f>
        <v>40</v>
      </c>
      <c r="Y36" s="10">
        <v>40</v>
      </c>
      <c r="Z36" s="10">
        <f>X36-Y36</f>
        <v>0</v>
      </c>
      <c r="AA36" s="10">
        <f>SUM(Z36)</f>
        <v>0</v>
      </c>
    </row>
    <row r="37" spans="1:27" thickTop="1" thickBot="1" x14ac:dyDescent="0.3">
      <c r="A37" s="10"/>
      <c r="B37" s="10">
        <v>18</v>
      </c>
      <c r="C37" s="10">
        <f>12-8+17-13</f>
        <v>8</v>
      </c>
      <c r="D37" s="10">
        <f>17.5-13</f>
        <v>4.5</v>
      </c>
      <c r="E37" s="10">
        <f>18-8-1</f>
        <v>9</v>
      </c>
      <c r="F37" s="10">
        <v>0</v>
      </c>
      <c r="G37" s="10">
        <f>16-9-1</f>
        <v>6</v>
      </c>
      <c r="H37" s="10">
        <f>14-11 + 20-15</f>
        <v>8</v>
      </c>
      <c r="I37" s="10">
        <v>0</v>
      </c>
      <c r="J37" s="10">
        <f t="shared" ref="J37:J41" si="22">SUM(C37:I37)</f>
        <v>35.5</v>
      </c>
      <c r="K37" s="10">
        <v>20</v>
      </c>
      <c r="L37" s="10">
        <f t="shared" ref="L37:L41" si="23">J37-K37</f>
        <v>15.5</v>
      </c>
      <c r="M37" s="10">
        <f>SUM(L36:L37)</f>
        <v>29.5</v>
      </c>
      <c r="N37" s="14"/>
      <c r="O37" s="10"/>
      <c r="P37" s="10">
        <v>7</v>
      </c>
      <c r="Q37" s="10">
        <f t="shared" ref="Q37:Q45" si="24">17-8</f>
        <v>9</v>
      </c>
      <c r="R37" s="10">
        <v>0</v>
      </c>
      <c r="S37" s="10">
        <f t="shared" ref="S37:S45" si="25">18-8</f>
        <v>10</v>
      </c>
      <c r="T37" s="10">
        <f>17-8</f>
        <v>9</v>
      </c>
      <c r="U37" s="10">
        <f t="shared" ref="U37:U45" si="26">18-13</f>
        <v>5</v>
      </c>
      <c r="V37" s="10">
        <v>0</v>
      </c>
      <c r="W37" s="10">
        <f>15-8</f>
        <v>7</v>
      </c>
      <c r="X37" s="10">
        <f t="shared" ref="X37:X41" si="27">SUM(Q37:W37)</f>
        <v>40</v>
      </c>
      <c r="Y37" s="10">
        <v>40</v>
      </c>
      <c r="Z37" s="10">
        <f t="shared" ref="Z37:Z41" si="28">X37-Y37</f>
        <v>0</v>
      </c>
      <c r="AA37" s="10">
        <f>SUM(Z36:Z37)</f>
        <v>0</v>
      </c>
    </row>
    <row r="38" spans="1:27" thickTop="1" thickBot="1" x14ac:dyDescent="0.3">
      <c r="A38" s="10"/>
      <c r="B38" s="10">
        <v>19</v>
      </c>
      <c r="C38" s="10">
        <f t="shared" ref="C38:C43" si="29">12-8</f>
        <v>4</v>
      </c>
      <c r="D38" s="10">
        <f t="shared" ref="D38:D43" si="30">17-8-1</f>
        <v>8</v>
      </c>
      <c r="E38" s="10">
        <f t="shared" ref="E38:E43" si="31">17-8-1</f>
        <v>8</v>
      </c>
      <c r="F38" s="10">
        <v>0</v>
      </c>
      <c r="G38" s="10">
        <f t="shared" ref="G38:G43" si="32">17-8-1</f>
        <v>8</v>
      </c>
      <c r="H38" s="10">
        <f>16-9</f>
        <v>7</v>
      </c>
      <c r="I38" s="10">
        <v>0</v>
      </c>
      <c r="J38" s="10">
        <f t="shared" si="22"/>
        <v>35</v>
      </c>
      <c r="K38" s="10">
        <v>20</v>
      </c>
      <c r="L38" s="10">
        <f t="shared" si="23"/>
        <v>15</v>
      </c>
      <c r="M38" s="10">
        <f>SUM(L36:L38)</f>
        <v>44.5</v>
      </c>
      <c r="N38" s="14"/>
      <c r="O38" s="10"/>
      <c r="P38" s="10">
        <v>8</v>
      </c>
      <c r="Q38" s="10">
        <f t="shared" si="24"/>
        <v>9</v>
      </c>
      <c r="R38" s="10">
        <v>0</v>
      </c>
      <c r="S38" s="10">
        <f t="shared" si="25"/>
        <v>10</v>
      </c>
      <c r="T38" s="10">
        <f>17-8</f>
        <v>9</v>
      </c>
      <c r="U38" s="10">
        <f t="shared" si="26"/>
        <v>5</v>
      </c>
      <c r="V38" s="10">
        <v>0</v>
      </c>
      <c r="W38" s="10">
        <f>15-8</f>
        <v>7</v>
      </c>
      <c r="X38" s="10">
        <f t="shared" si="27"/>
        <v>40</v>
      </c>
      <c r="Y38" s="10">
        <v>40</v>
      </c>
      <c r="Z38" s="10">
        <f t="shared" si="28"/>
        <v>0</v>
      </c>
      <c r="AA38" s="10">
        <f>SUM(Z36:Z38)</f>
        <v>0</v>
      </c>
    </row>
    <row r="39" spans="1:27" thickTop="1" thickBot="1" x14ac:dyDescent="0.3">
      <c r="A39" s="10"/>
      <c r="B39" s="10">
        <v>20</v>
      </c>
      <c r="C39" s="10">
        <f t="shared" si="29"/>
        <v>4</v>
      </c>
      <c r="D39" s="10">
        <f>15-8.5</f>
        <v>6.5</v>
      </c>
      <c r="E39" s="10">
        <f>17-8.5-0.5</f>
        <v>8</v>
      </c>
      <c r="F39" s="10">
        <f>12-10</f>
        <v>2</v>
      </c>
      <c r="G39" s="10">
        <f>15-9-1</f>
        <v>5</v>
      </c>
      <c r="H39" s="10">
        <v>0</v>
      </c>
      <c r="I39" s="10">
        <v>0</v>
      </c>
      <c r="J39" s="10">
        <f t="shared" si="22"/>
        <v>25.5</v>
      </c>
      <c r="K39" s="10">
        <v>20</v>
      </c>
      <c r="L39" s="10">
        <f t="shared" si="23"/>
        <v>5.5</v>
      </c>
      <c r="M39" s="10">
        <f>SUM(L36:L39)</f>
        <v>50</v>
      </c>
      <c r="N39" s="14"/>
      <c r="O39" s="10" t="s">
        <v>180</v>
      </c>
      <c r="P39" s="10">
        <v>9</v>
      </c>
      <c r="Q39" s="10">
        <f t="shared" si="24"/>
        <v>9</v>
      </c>
      <c r="R39" s="10">
        <v>0</v>
      </c>
      <c r="S39" s="10">
        <f t="shared" si="25"/>
        <v>10</v>
      </c>
      <c r="T39" s="10">
        <f>17-8</f>
        <v>9</v>
      </c>
      <c r="U39" s="10">
        <f t="shared" si="26"/>
        <v>5</v>
      </c>
      <c r="V39" s="10">
        <v>0</v>
      </c>
      <c r="W39" s="10">
        <f>15-8</f>
        <v>7</v>
      </c>
      <c r="X39" s="10">
        <f t="shared" si="27"/>
        <v>40</v>
      </c>
      <c r="Y39" s="10">
        <v>40</v>
      </c>
      <c r="Z39" s="10">
        <f t="shared" si="28"/>
        <v>0</v>
      </c>
      <c r="AA39" s="10">
        <f>SUM(Z36:Z39)</f>
        <v>0</v>
      </c>
    </row>
    <row r="40" spans="1:27" thickTop="1" thickBot="1" x14ac:dyDescent="0.3">
      <c r="A40" s="10"/>
      <c r="B40" s="10">
        <v>21</v>
      </c>
      <c r="C40" s="10">
        <f t="shared" si="29"/>
        <v>4</v>
      </c>
      <c r="D40" s="10">
        <f>18-8.5</f>
        <v>9.5</v>
      </c>
      <c r="E40" s="10">
        <f t="shared" si="31"/>
        <v>8</v>
      </c>
      <c r="F40" s="10">
        <v>0</v>
      </c>
      <c r="G40" s="10">
        <f t="shared" si="32"/>
        <v>8</v>
      </c>
      <c r="H40" s="10">
        <f t="shared" ref="H40:H41" si="33">12-8</f>
        <v>4</v>
      </c>
      <c r="I40" s="10">
        <v>0</v>
      </c>
      <c r="J40" s="10">
        <f t="shared" si="22"/>
        <v>33.5</v>
      </c>
      <c r="K40" s="10">
        <v>20</v>
      </c>
      <c r="L40" s="10">
        <f t="shared" si="23"/>
        <v>13.5</v>
      </c>
      <c r="M40" s="10">
        <f>SUM(L36:L40)</f>
        <v>63.5</v>
      </c>
      <c r="N40" s="14"/>
      <c r="O40" s="10" t="s">
        <v>181</v>
      </c>
      <c r="P40" s="10">
        <v>10</v>
      </c>
      <c r="Q40" s="10">
        <v>0</v>
      </c>
      <c r="R40" s="10">
        <v>0</v>
      </c>
      <c r="S40" s="10">
        <v>0</v>
      </c>
      <c r="T40" s="10">
        <v>0</v>
      </c>
      <c r="U40" s="10">
        <v>0</v>
      </c>
      <c r="V40" s="10">
        <v>0</v>
      </c>
      <c r="W40" s="10">
        <v>0</v>
      </c>
      <c r="X40" s="10">
        <f>SUM(Q40:W40)</f>
        <v>0</v>
      </c>
      <c r="Y40" s="10">
        <v>0</v>
      </c>
      <c r="Z40" s="10">
        <f t="shared" si="28"/>
        <v>0</v>
      </c>
      <c r="AA40" s="10">
        <f>SUM(Z36:Z40)</f>
        <v>0</v>
      </c>
    </row>
    <row r="41" spans="1:27" thickTop="1" thickBot="1" x14ac:dyDescent="0.3">
      <c r="A41" s="10"/>
      <c r="B41" s="10">
        <v>22</v>
      </c>
      <c r="C41" s="10">
        <f>0</f>
        <v>0</v>
      </c>
      <c r="D41" s="10">
        <f>19-11</f>
        <v>8</v>
      </c>
      <c r="E41" s="10">
        <f t="shared" si="31"/>
        <v>8</v>
      </c>
      <c r="F41" s="10">
        <v>0</v>
      </c>
      <c r="G41" s="10">
        <f t="shared" si="32"/>
        <v>8</v>
      </c>
      <c r="H41" s="10">
        <f t="shared" si="33"/>
        <v>4</v>
      </c>
      <c r="I41" s="10">
        <v>4</v>
      </c>
      <c r="J41" s="10">
        <f t="shared" si="22"/>
        <v>32</v>
      </c>
      <c r="K41" s="10">
        <v>20</v>
      </c>
      <c r="L41" s="10">
        <f t="shared" si="23"/>
        <v>12</v>
      </c>
      <c r="M41" s="10">
        <f>SUM(L36:L41)</f>
        <v>75.5</v>
      </c>
      <c r="N41" s="14"/>
      <c r="O41" s="10"/>
      <c r="P41" s="10">
        <v>11</v>
      </c>
      <c r="Q41" s="10">
        <f t="shared" si="24"/>
        <v>9</v>
      </c>
      <c r="R41" s="10">
        <v>0</v>
      </c>
      <c r="S41" s="10">
        <f t="shared" si="25"/>
        <v>10</v>
      </c>
      <c r="T41" s="10">
        <f>17-8</f>
        <v>9</v>
      </c>
      <c r="U41" s="10">
        <f t="shared" si="26"/>
        <v>5</v>
      </c>
      <c r="V41" s="10">
        <v>0</v>
      </c>
      <c r="W41" s="10">
        <f>15-8</f>
        <v>7</v>
      </c>
      <c r="X41" s="10">
        <f t="shared" si="27"/>
        <v>40</v>
      </c>
      <c r="Y41" s="10">
        <v>40</v>
      </c>
      <c r="Z41" s="10">
        <f t="shared" si="28"/>
        <v>0</v>
      </c>
      <c r="AA41" s="10">
        <f>SUM(Z36:Z41)</f>
        <v>0</v>
      </c>
    </row>
    <row r="42" spans="1:27" thickTop="1" thickBot="1" x14ac:dyDescent="0.3">
      <c r="A42" s="10"/>
      <c r="B42" s="10">
        <v>23</v>
      </c>
      <c r="C42" s="10">
        <f t="shared" si="29"/>
        <v>4</v>
      </c>
      <c r="D42" s="10">
        <v>4</v>
      </c>
      <c r="E42" s="10">
        <v>4</v>
      </c>
      <c r="F42" s="10">
        <v>4</v>
      </c>
      <c r="G42" s="10">
        <f>7+ 2</f>
        <v>9</v>
      </c>
      <c r="H42" s="10">
        <f>16-10</f>
        <v>6</v>
      </c>
      <c r="I42" s="10">
        <v>0</v>
      </c>
      <c r="J42" s="10">
        <f>SUM(C42:I42)</f>
        <v>31</v>
      </c>
      <c r="K42" s="10">
        <v>20</v>
      </c>
      <c r="L42" s="10">
        <f>J42-K42</f>
        <v>11</v>
      </c>
      <c r="M42" s="10">
        <f>SUM(L36:L42)</f>
        <v>86.5</v>
      </c>
      <c r="N42" s="14"/>
      <c r="O42" s="10"/>
      <c r="P42" s="10">
        <v>12</v>
      </c>
      <c r="Q42" s="10">
        <f t="shared" si="24"/>
        <v>9</v>
      </c>
      <c r="R42" s="10">
        <v>0</v>
      </c>
      <c r="S42" s="10">
        <f t="shared" si="25"/>
        <v>10</v>
      </c>
      <c r="T42" s="10">
        <f>17-8</f>
        <v>9</v>
      </c>
      <c r="U42" s="10">
        <f t="shared" si="26"/>
        <v>5</v>
      </c>
      <c r="V42" s="10">
        <v>0</v>
      </c>
      <c r="W42" s="10">
        <f>15-8</f>
        <v>7</v>
      </c>
      <c r="X42" s="10">
        <f>SUM(Q42:W42)</f>
        <v>40</v>
      </c>
      <c r="Y42" s="10">
        <v>40</v>
      </c>
      <c r="Z42" s="10">
        <f>X42-Y42</f>
        <v>0</v>
      </c>
      <c r="AA42" s="10">
        <f>SUM(Z36:Z42)</f>
        <v>0</v>
      </c>
    </row>
    <row r="43" spans="1:27" thickTop="1" thickBot="1" x14ac:dyDescent="0.3">
      <c r="A43" s="10"/>
      <c r="B43" s="10">
        <v>24</v>
      </c>
      <c r="C43" s="10">
        <f t="shared" si="29"/>
        <v>4</v>
      </c>
      <c r="D43" s="10">
        <f t="shared" si="30"/>
        <v>8</v>
      </c>
      <c r="E43" s="10">
        <f t="shared" si="31"/>
        <v>8</v>
      </c>
      <c r="F43" s="10">
        <f>2</f>
        <v>2</v>
      </c>
      <c r="G43" s="10">
        <f t="shared" si="32"/>
        <v>8</v>
      </c>
      <c r="H43" s="10">
        <f>16-10</f>
        <v>6</v>
      </c>
      <c r="I43" s="10">
        <v>0</v>
      </c>
      <c r="J43" s="10">
        <f t="shared" ref="J43:J44" si="34">SUM(C43:I43)</f>
        <v>36</v>
      </c>
      <c r="K43" s="10">
        <v>20</v>
      </c>
      <c r="L43" s="10">
        <f>J43-K43</f>
        <v>16</v>
      </c>
      <c r="M43" s="10">
        <f>SUM(L36:L43)</f>
        <v>102.5</v>
      </c>
      <c r="N43" s="14"/>
      <c r="O43" s="10"/>
      <c r="P43" s="10">
        <v>13</v>
      </c>
      <c r="Q43" s="10">
        <f t="shared" si="24"/>
        <v>9</v>
      </c>
      <c r="R43" s="10">
        <v>0</v>
      </c>
      <c r="S43" s="10">
        <f t="shared" si="25"/>
        <v>10</v>
      </c>
      <c r="T43" s="10">
        <f>17-8</f>
        <v>9</v>
      </c>
      <c r="U43" s="10">
        <f t="shared" si="26"/>
        <v>5</v>
      </c>
      <c r="V43" s="10">
        <v>0</v>
      </c>
      <c r="W43" s="10">
        <f>15-8</f>
        <v>7</v>
      </c>
      <c r="X43" s="10">
        <f t="shared" ref="X43:X44" si="35">SUM(Q43:W43)</f>
        <v>40</v>
      </c>
      <c r="Y43" s="10">
        <v>40</v>
      </c>
      <c r="Z43" s="10">
        <f>X43-Y43</f>
        <v>0</v>
      </c>
      <c r="AA43" s="10">
        <f>SUM(Z36:Z43)</f>
        <v>0</v>
      </c>
    </row>
    <row r="44" spans="1:27" thickTop="1" thickBot="1" x14ac:dyDescent="0.3">
      <c r="A44" s="10"/>
      <c r="B44" s="10">
        <v>25</v>
      </c>
      <c r="C44" s="10">
        <f>12-8+21-19</f>
        <v>6</v>
      </c>
      <c r="D44" s="10">
        <f>17-8-1</f>
        <v>8</v>
      </c>
      <c r="E44" s="10">
        <f>15-8-1</f>
        <v>6</v>
      </c>
      <c r="F44" s="10">
        <f>18-13</f>
        <v>5</v>
      </c>
      <c r="G44" s="10">
        <f>22-10-1</f>
        <v>11</v>
      </c>
      <c r="H44" s="10">
        <v>0</v>
      </c>
      <c r="I44" s="10">
        <v>0</v>
      </c>
      <c r="J44" s="10">
        <f t="shared" si="34"/>
        <v>36</v>
      </c>
      <c r="K44" s="10">
        <v>20</v>
      </c>
      <c r="L44" s="10">
        <f>J44-K44</f>
        <v>16</v>
      </c>
      <c r="M44" s="10">
        <f>SUM(L36:L44)</f>
        <v>118.5</v>
      </c>
      <c r="N44" s="14"/>
      <c r="O44" s="10" t="s">
        <v>182</v>
      </c>
      <c r="P44" s="10">
        <v>14</v>
      </c>
      <c r="Q44" s="10">
        <f t="shared" si="24"/>
        <v>9</v>
      </c>
      <c r="R44" s="10">
        <v>0</v>
      </c>
      <c r="S44" s="10">
        <f t="shared" si="25"/>
        <v>10</v>
      </c>
      <c r="T44" s="10">
        <f>17-8</f>
        <v>9</v>
      </c>
      <c r="U44" s="10">
        <f t="shared" si="26"/>
        <v>5</v>
      </c>
      <c r="V44" s="10">
        <v>0</v>
      </c>
      <c r="W44" s="10">
        <f>15-8</f>
        <v>7</v>
      </c>
      <c r="X44" s="10">
        <f t="shared" si="35"/>
        <v>40</v>
      </c>
      <c r="Y44" s="10">
        <v>40</v>
      </c>
      <c r="Z44" s="10">
        <f>X44-Y44</f>
        <v>0</v>
      </c>
      <c r="AA44" s="10">
        <f>SUM(Z36:Z44)</f>
        <v>0</v>
      </c>
    </row>
    <row r="45" spans="1:27" thickTop="1" thickBot="1" x14ac:dyDescent="0.3">
      <c r="A45" s="10"/>
      <c r="B45" s="10"/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4"/>
      <c r="O45" s="10"/>
      <c r="P45" s="10">
        <v>15</v>
      </c>
      <c r="Q45" s="10">
        <f t="shared" si="24"/>
        <v>9</v>
      </c>
      <c r="R45" s="10">
        <v>0</v>
      </c>
      <c r="S45" s="10">
        <f t="shared" si="25"/>
        <v>10</v>
      </c>
      <c r="T45" s="10">
        <f>17-8</f>
        <v>9</v>
      </c>
      <c r="U45" s="10">
        <f t="shared" si="26"/>
        <v>5</v>
      </c>
      <c r="V45" s="10">
        <v>0</v>
      </c>
      <c r="W45" s="10">
        <f>15-8</f>
        <v>7</v>
      </c>
      <c r="X45" s="10">
        <f>SUM(Q45:W45)</f>
        <v>40</v>
      </c>
      <c r="Y45" s="10">
        <v>40</v>
      </c>
      <c r="Z45" s="10">
        <f>X45-Y45</f>
        <v>0</v>
      </c>
      <c r="AA45" s="10">
        <f>SUM(Z35:Z45)</f>
        <v>0</v>
      </c>
    </row>
    <row r="46" spans="1:27" thickTop="1" thickBot="1" x14ac:dyDescent="0.3">
      <c r="A46" s="10"/>
      <c r="B46" s="10"/>
      <c r="C46" s="10"/>
      <c r="D46" s="10"/>
      <c r="E46" s="10"/>
      <c r="F46" s="25"/>
      <c r="G46" s="25"/>
      <c r="H46" s="10"/>
      <c r="I46" s="10" t="s">
        <v>2</v>
      </c>
      <c r="J46" s="10">
        <f>SUM(J36:J44)</f>
        <v>298.5</v>
      </c>
      <c r="K46" s="10"/>
      <c r="L46" s="10"/>
      <c r="M46" s="10"/>
      <c r="N46" s="14"/>
      <c r="O46" s="10" t="s">
        <v>187</v>
      </c>
      <c r="P46" s="10">
        <v>16</v>
      </c>
      <c r="Q46" s="10">
        <v>0</v>
      </c>
      <c r="R46" s="10">
        <v>0</v>
      </c>
      <c r="S46" s="10">
        <v>0</v>
      </c>
      <c r="T46" s="10">
        <v>0</v>
      </c>
      <c r="U46" s="10">
        <v>0</v>
      </c>
      <c r="V46" s="10">
        <v>0</v>
      </c>
      <c r="W46" s="10">
        <v>0</v>
      </c>
      <c r="X46" s="10">
        <f>SUM(Q46:W46)</f>
        <v>0</v>
      </c>
      <c r="Y46" s="10">
        <v>0</v>
      </c>
      <c r="Z46" s="10">
        <f>X46-Y46</f>
        <v>0</v>
      </c>
      <c r="AA46" s="10">
        <f>SUM(Z36:Z46)</f>
        <v>0</v>
      </c>
    </row>
    <row r="47" spans="1:27" thickTop="1" thickBot="1" x14ac:dyDescent="0.3">
      <c r="A47" s="10"/>
      <c r="B47" s="10"/>
      <c r="C47" s="10"/>
      <c r="D47" s="10"/>
      <c r="E47" s="10"/>
      <c r="F47" s="10"/>
      <c r="G47" s="10"/>
      <c r="H47" s="10"/>
      <c r="I47" s="10" t="s">
        <v>3</v>
      </c>
      <c r="J47" s="10">
        <f>SUM(K36:K44)</f>
        <v>180</v>
      </c>
      <c r="K47" s="10"/>
      <c r="L47" s="10"/>
      <c r="M47" s="10"/>
      <c r="N47" s="14"/>
      <c r="O47" s="10"/>
      <c r="P47" s="10"/>
      <c r="Q47" s="10"/>
      <c r="R47" s="10"/>
      <c r="S47" s="10"/>
      <c r="T47" s="10"/>
      <c r="U47" s="10"/>
      <c r="V47" s="10"/>
      <c r="W47" s="10" t="s">
        <v>2</v>
      </c>
      <c r="X47" s="10">
        <f>SUM(X36:X46)</f>
        <v>360</v>
      </c>
      <c r="Y47" s="10"/>
      <c r="Z47" s="10"/>
      <c r="AA47" s="10"/>
    </row>
    <row r="48" spans="1:27" thickTop="1" thickBot="1" x14ac:dyDescent="0.3">
      <c r="A48" s="10"/>
      <c r="B48" s="10"/>
      <c r="C48" s="10"/>
      <c r="D48" s="10"/>
      <c r="E48" s="10"/>
      <c r="F48" s="10"/>
      <c r="G48" s="10"/>
      <c r="H48" s="10"/>
      <c r="I48" s="10" t="s">
        <v>0</v>
      </c>
      <c r="J48" s="10">
        <f>J46-J47</f>
        <v>118.5</v>
      </c>
      <c r="K48" s="10"/>
      <c r="L48" s="10"/>
      <c r="M48" s="10"/>
      <c r="N48" s="14"/>
      <c r="O48" s="10"/>
      <c r="P48" s="10"/>
      <c r="Q48" s="10"/>
      <c r="R48" s="10"/>
      <c r="S48" s="10"/>
      <c r="T48" s="10"/>
      <c r="U48" s="10"/>
      <c r="V48" s="10"/>
      <c r="W48" s="10" t="s">
        <v>3</v>
      </c>
      <c r="X48" s="10">
        <f>SUM(Y36:Y46)</f>
        <v>360</v>
      </c>
      <c r="Y48" s="10"/>
      <c r="Z48" s="10"/>
      <c r="AA48" s="10"/>
    </row>
    <row r="49" spans="1:32" thickTop="1" thickBot="1" x14ac:dyDescent="0.3">
      <c r="A49" s="10"/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4"/>
      <c r="O49" s="10"/>
      <c r="P49" s="10"/>
      <c r="Q49" s="10"/>
      <c r="R49" s="10"/>
      <c r="S49" s="10"/>
      <c r="T49" s="10"/>
      <c r="U49" s="10"/>
      <c r="V49" s="10"/>
      <c r="W49" s="10" t="s">
        <v>0</v>
      </c>
      <c r="X49" s="10">
        <f>X47-X48</f>
        <v>0</v>
      </c>
      <c r="Y49" s="10"/>
      <c r="Z49" s="10"/>
      <c r="AA49" s="10"/>
    </row>
    <row r="50" spans="1:32" s="21" customFormat="1" thickTop="1" thickBot="1" x14ac:dyDescent="0.3">
      <c r="A50" s="14"/>
      <c r="B50" s="14" t="s">
        <v>109</v>
      </c>
      <c r="C50" s="14"/>
      <c r="D50" s="14"/>
      <c r="E50" s="14"/>
      <c r="F50" s="14"/>
      <c r="G50" s="14"/>
      <c r="H50" s="14"/>
      <c r="I50" s="14"/>
      <c r="J50" s="14"/>
      <c r="K50" s="14"/>
      <c r="L50" s="14"/>
      <c r="M50" s="14"/>
      <c r="N50" s="14"/>
      <c r="O50" s="14"/>
      <c r="P50" s="14" t="s">
        <v>112</v>
      </c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</row>
    <row r="51" spans="1:32" thickTop="1" thickBot="1" x14ac:dyDescent="0.3">
      <c r="A51" s="10" t="s">
        <v>127</v>
      </c>
      <c r="B51" s="10" t="s">
        <v>6</v>
      </c>
      <c r="C51" s="10" t="s">
        <v>7</v>
      </c>
      <c r="D51" s="10" t="s">
        <v>8</v>
      </c>
      <c r="E51" s="10" t="s">
        <v>9</v>
      </c>
      <c r="F51" s="10" t="s">
        <v>10</v>
      </c>
      <c r="G51" s="10" t="s">
        <v>11</v>
      </c>
      <c r="H51" s="10" t="s">
        <v>12</v>
      </c>
      <c r="I51" s="10" t="s">
        <v>13</v>
      </c>
      <c r="J51" s="10" t="s">
        <v>14</v>
      </c>
      <c r="K51" s="10" t="s">
        <v>15</v>
      </c>
      <c r="L51" s="10" t="s">
        <v>0</v>
      </c>
      <c r="M51" s="10" t="s">
        <v>1</v>
      </c>
      <c r="N51" s="14"/>
      <c r="O51" s="10"/>
      <c r="P51" s="10" t="s">
        <v>6</v>
      </c>
      <c r="Q51" s="10" t="s">
        <v>7</v>
      </c>
      <c r="R51" s="10" t="s">
        <v>8</v>
      </c>
      <c r="S51" s="10" t="s">
        <v>9</v>
      </c>
      <c r="T51" s="10" t="s">
        <v>10</v>
      </c>
      <c r="U51" s="10" t="s">
        <v>11</v>
      </c>
      <c r="V51" s="10" t="s">
        <v>12</v>
      </c>
      <c r="W51" s="10" t="s">
        <v>13</v>
      </c>
      <c r="X51" s="10" t="s">
        <v>14</v>
      </c>
      <c r="Y51" s="10" t="s">
        <v>15</v>
      </c>
      <c r="Z51" s="10" t="s">
        <v>0</v>
      </c>
      <c r="AA51" s="10" t="s">
        <v>1</v>
      </c>
    </row>
    <row r="52" spans="1:32" thickTop="1" thickBot="1" x14ac:dyDescent="0.3">
      <c r="A52" s="10" t="s">
        <v>128</v>
      </c>
      <c r="B52" s="10">
        <v>29</v>
      </c>
      <c r="C52" s="10">
        <v>0</v>
      </c>
      <c r="D52" s="10">
        <v>0</v>
      </c>
      <c r="E52" s="10">
        <f>16-8</f>
        <v>8</v>
      </c>
      <c r="F52" s="10">
        <f>16-8</f>
        <v>8</v>
      </c>
      <c r="G52" s="10">
        <f>12-8</f>
        <v>4</v>
      </c>
      <c r="H52" s="10">
        <v>0</v>
      </c>
      <c r="I52" s="10">
        <v>0</v>
      </c>
      <c r="J52" s="10">
        <f t="shared" ref="J52:J53" si="36">SUM(C52:I52)</f>
        <v>20</v>
      </c>
      <c r="K52" s="10">
        <v>20</v>
      </c>
      <c r="L52" s="10">
        <f>J52-K52</f>
        <v>0</v>
      </c>
      <c r="M52" s="10">
        <f>SUM(L52)</f>
        <v>0</v>
      </c>
      <c r="N52" s="14"/>
      <c r="O52" s="10"/>
      <c r="P52" s="10">
        <v>17</v>
      </c>
      <c r="Q52" s="10">
        <f>17-8</f>
        <v>9</v>
      </c>
      <c r="R52" s="10">
        <v>0</v>
      </c>
      <c r="S52" s="10">
        <f>18-8</f>
        <v>10</v>
      </c>
      <c r="T52" s="10">
        <f t="shared" ref="T52:T58" si="37">17-8</f>
        <v>9</v>
      </c>
      <c r="U52" s="10">
        <f>18-13</f>
        <v>5</v>
      </c>
      <c r="V52" s="10">
        <v>0</v>
      </c>
      <c r="W52" s="10">
        <f t="shared" ref="W52:W58" si="38">15-8</f>
        <v>7</v>
      </c>
      <c r="X52" s="10">
        <f>SUM(Q52:W52)</f>
        <v>40</v>
      </c>
      <c r="Y52" s="10">
        <v>40</v>
      </c>
      <c r="Z52" s="10">
        <f>X52-Y52</f>
        <v>0</v>
      </c>
      <c r="AA52" s="10">
        <f>SUM(Z52)</f>
        <v>0</v>
      </c>
      <c r="AC52" t="s">
        <v>124</v>
      </c>
      <c r="AF52">
        <f>40</f>
        <v>40</v>
      </c>
    </row>
    <row r="53" spans="1:32" thickTop="1" thickBot="1" x14ac:dyDescent="0.3">
      <c r="A53" s="10"/>
      <c r="B53" s="10">
        <v>30</v>
      </c>
      <c r="C53" s="10">
        <v>0</v>
      </c>
      <c r="D53" s="10">
        <v>0</v>
      </c>
      <c r="E53" s="10">
        <f>16-9</f>
        <v>7</v>
      </c>
      <c r="F53" s="10">
        <f>15-9</f>
        <v>6</v>
      </c>
      <c r="G53" s="10">
        <f>0</f>
        <v>0</v>
      </c>
      <c r="H53" s="10">
        <v>0</v>
      </c>
      <c r="I53" s="10">
        <v>0</v>
      </c>
      <c r="J53" s="10">
        <f t="shared" si="36"/>
        <v>13</v>
      </c>
      <c r="K53" s="10">
        <v>20</v>
      </c>
      <c r="L53" s="10">
        <f>J53-K53</f>
        <v>-7</v>
      </c>
      <c r="M53" s="10">
        <f>SUM(L53+M52)</f>
        <v>-7</v>
      </c>
      <c r="N53" s="14"/>
      <c r="O53" s="10" t="s">
        <v>183</v>
      </c>
      <c r="P53" s="10">
        <v>18</v>
      </c>
      <c r="Q53" s="10">
        <f t="shared" ref="Q53:Q58" si="39">17-8</f>
        <v>9</v>
      </c>
      <c r="R53" s="10">
        <v>0</v>
      </c>
      <c r="S53" s="10">
        <f t="shared" ref="Q53:W60" si="40">18-8</f>
        <v>10</v>
      </c>
      <c r="T53" s="10">
        <f t="shared" si="37"/>
        <v>9</v>
      </c>
      <c r="U53" s="10">
        <f t="shared" ref="U53:U58" si="41">18-13</f>
        <v>5</v>
      </c>
      <c r="V53" s="10">
        <v>0</v>
      </c>
      <c r="W53" s="10">
        <f t="shared" si="38"/>
        <v>7</v>
      </c>
      <c r="X53" s="10">
        <f t="shared" ref="X53:X56" si="42">SUM(Q53:W53)</f>
        <v>40</v>
      </c>
      <c r="Y53" s="10">
        <v>40</v>
      </c>
      <c r="Z53" s="10">
        <f t="shared" ref="Z53:Z56" si="43">X53-Y53</f>
        <v>0</v>
      </c>
      <c r="AA53" s="10">
        <f>SUM(Z52:Z53)</f>
        <v>0</v>
      </c>
      <c r="AC53" t="s">
        <v>125</v>
      </c>
      <c r="AF53">
        <f>12</f>
        <v>12</v>
      </c>
    </row>
    <row r="54" spans="1:32" thickTop="1" thickBot="1" x14ac:dyDescent="0.3">
      <c r="A54" s="10" t="s">
        <v>129</v>
      </c>
      <c r="B54" s="10">
        <v>31</v>
      </c>
      <c r="C54" s="10">
        <v>0</v>
      </c>
      <c r="D54" s="10">
        <f>16-9</f>
        <v>7</v>
      </c>
      <c r="E54" s="10">
        <f t="shared" ref="E54:F58" si="44">16-8</f>
        <v>8</v>
      </c>
      <c r="F54" s="10">
        <f t="shared" si="44"/>
        <v>8</v>
      </c>
      <c r="G54" s="10">
        <v>0</v>
      </c>
      <c r="H54" s="10">
        <f>18-10</f>
        <v>8</v>
      </c>
      <c r="I54" s="10">
        <f>14-9.5</f>
        <v>4.5</v>
      </c>
      <c r="J54" s="10">
        <f>SUM(C54:I54)</f>
        <v>35.5</v>
      </c>
      <c r="K54" s="10">
        <v>20</v>
      </c>
      <c r="L54" s="10">
        <f>J54-K54</f>
        <v>15.5</v>
      </c>
      <c r="M54" s="10">
        <f t="shared" ref="M54:M58" si="45">SUM(L54+M53)</f>
        <v>8.5</v>
      </c>
      <c r="N54" s="14"/>
      <c r="O54" s="10" t="s">
        <v>184</v>
      </c>
      <c r="P54" s="10">
        <v>19</v>
      </c>
      <c r="Q54" s="10">
        <f t="shared" si="39"/>
        <v>9</v>
      </c>
      <c r="R54" s="10">
        <v>0</v>
      </c>
      <c r="S54" s="10">
        <f t="shared" si="40"/>
        <v>10</v>
      </c>
      <c r="T54" s="10">
        <f t="shared" si="37"/>
        <v>9</v>
      </c>
      <c r="U54" s="10">
        <f t="shared" si="41"/>
        <v>5</v>
      </c>
      <c r="V54" s="10">
        <v>0</v>
      </c>
      <c r="W54" s="10">
        <f t="shared" si="38"/>
        <v>7</v>
      </c>
      <c r="X54" s="10">
        <f t="shared" si="42"/>
        <v>40</v>
      </c>
      <c r="Y54" s="10">
        <v>40</v>
      </c>
      <c r="Z54" s="10">
        <f t="shared" si="43"/>
        <v>0</v>
      </c>
      <c r="AA54" s="10">
        <f>SUM(Z52:Z54)</f>
        <v>0</v>
      </c>
      <c r="AC54" t="s">
        <v>126</v>
      </c>
      <c r="AF54">
        <f>12</f>
        <v>12</v>
      </c>
    </row>
    <row r="55" spans="1:32" thickTop="1" thickBot="1" x14ac:dyDescent="0.3">
      <c r="A55" s="10" t="s">
        <v>130</v>
      </c>
      <c r="B55" s="10">
        <v>32</v>
      </c>
      <c r="C55" s="10">
        <f t="shared" ref="C55:C58" si="46">16-8</f>
        <v>8</v>
      </c>
      <c r="D55" s="10">
        <v>0</v>
      </c>
      <c r="E55" s="10">
        <f t="shared" si="44"/>
        <v>8</v>
      </c>
      <c r="F55" s="10">
        <f t="shared" si="44"/>
        <v>8</v>
      </c>
      <c r="G55" s="10">
        <f t="shared" ref="G55:G58" si="47">17-13</f>
        <v>4</v>
      </c>
      <c r="H55" s="10">
        <v>0</v>
      </c>
      <c r="I55" s="10">
        <v>0</v>
      </c>
      <c r="J55" s="10">
        <f>SUM(C55:I55)</f>
        <v>28</v>
      </c>
      <c r="K55" s="10">
        <v>20</v>
      </c>
      <c r="L55" s="10">
        <f t="shared" ref="L55:L56" si="48">J55-K55</f>
        <v>8</v>
      </c>
      <c r="M55" s="10">
        <f t="shared" si="45"/>
        <v>16.5</v>
      </c>
      <c r="N55" s="14"/>
      <c r="O55" s="10"/>
      <c r="P55" s="10">
        <v>20</v>
      </c>
      <c r="Q55" s="10">
        <f t="shared" si="39"/>
        <v>9</v>
      </c>
      <c r="R55" s="10">
        <v>0</v>
      </c>
      <c r="S55" s="10">
        <f t="shared" si="40"/>
        <v>10</v>
      </c>
      <c r="T55" s="10">
        <f t="shared" si="37"/>
        <v>9</v>
      </c>
      <c r="U55" s="10">
        <f t="shared" si="41"/>
        <v>5</v>
      </c>
      <c r="V55" s="10">
        <v>0</v>
      </c>
      <c r="W55" s="10">
        <f t="shared" si="38"/>
        <v>7</v>
      </c>
      <c r="X55" s="10">
        <f t="shared" si="42"/>
        <v>40</v>
      </c>
      <c r="Y55" s="10">
        <v>40</v>
      </c>
      <c r="Z55" s="10">
        <f t="shared" si="43"/>
        <v>0</v>
      </c>
      <c r="AA55" s="10">
        <f>SUM(Z52:Z55)</f>
        <v>0</v>
      </c>
      <c r="AF55">
        <f>SUM(AF52:AF54)</f>
        <v>64</v>
      </c>
    </row>
    <row r="56" spans="1:32" thickTop="1" thickBot="1" x14ac:dyDescent="0.3">
      <c r="A56" s="10"/>
      <c r="B56" s="10">
        <v>33</v>
      </c>
      <c r="C56" s="10">
        <f t="shared" si="46"/>
        <v>8</v>
      </c>
      <c r="D56" s="10">
        <f>18-9</f>
        <v>9</v>
      </c>
      <c r="E56" s="10">
        <v>0</v>
      </c>
      <c r="F56" s="10">
        <f t="shared" si="44"/>
        <v>8</v>
      </c>
      <c r="G56" s="10">
        <f>16.5-12.5</f>
        <v>4</v>
      </c>
      <c r="H56" s="10">
        <v>0</v>
      </c>
      <c r="I56" s="10">
        <v>0</v>
      </c>
      <c r="J56" s="10">
        <f>SUM(C56:I56)</f>
        <v>29</v>
      </c>
      <c r="K56" s="10">
        <v>20</v>
      </c>
      <c r="L56" s="10">
        <f t="shared" si="48"/>
        <v>9</v>
      </c>
      <c r="M56" s="10">
        <f t="shared" si="45"/>
        <v>25.5</v>
      </c>
      <c r="N56" s="14"/>
      <c r="O56" s="10"/>
      <c r="P56" s="10">
        <v>21</v>
      </c>
      <c r="Q56" s="10">
        <f t="shared" si="39"/>
        <v>9</v>
      </c>
      <c r="R56" s="10">
        <v>0</v>
      </c>
      <c r="S56" s="10">
        <f t="shared" si="40"/>
        <v>10</v>
      </c>
      <c r="T56" s="10">
        <f t="shared" si="37"/>
        <v>9</v>
      </c>
      <c r="U56" s="10">
        <f t="shared" si="41"/>
        <v>5</v>
      </c>
      <c r="V56" s="10">
        <v>0</v>
      </c>
      <c r="W56" s="10">
        <f t="shared" si="38"/>
        <v>7</v>
      </c>
      <c r="X56" s="10">
        <f t="shared" si="42"/>
        <v>40</v>
      </c>
      <c r="Y56" s="10">
        <v>40</v>
      </c>
      <c r="Z56" s="10">
        <f t="shared" si="43"/>
        <v>0</v>
      </c>
      <c r="AA56" s="10">
        <f>SUM(Z52:Z56)</f>
        <v>0</v>
      </c>
    </row>
    <row r="57" spans="1:32" ht="31.5" thickTop="1" thickBot="1" x14ac:dyDescent="0.3">
      <c r="A57" s="10" t="s">
        <v>131</v>
      </c>
      <c r="B57" s="10">
        <v>34</v>
      </c>
      <c r="C57" s="10">
        <v>4</v>
      </c>
      <c r="D57" s="10">
        <v>4</v>
      </c>
      <c r="E57" s="10">
        <v>4</v>
      </c>
      <c r="F57" s="10">
        <v>4</v>
      </c>
      <c r="G57" s="10">
        <v>4</v>
      </c>
      <c r="H57" s="10">
        <v>0</v>
      </c>
      <c r="I57" s="10">
        <v>0</v>
      </c>
      <c r="J57" s="10">
        <f>SUM(C57:I57)</f>
        <v>20</v>
      </c>
      <c r="K57" s="10">
        <v>20</v>
      </c>
      <c r="L57" s="10">
        <f>J57-K57</f>
        <v>0</v>
      </c>
      <c r="M57" s="10">
        <f t="shared" si="45"/>
        <v>25.5</v>
      </c>
      <c r="N57" s="14"/>
      <c r="O57" s="10"/>
      <c r="P57" s="10">
        <v>22</v>
      </c>
      <c r="Q57" s="10">
        <f>17-8</f>
        <v>9</v>
      </c>
      <c r="R57" s="10">
        <v>0</v>
      </c>
      <c r="S57" s="10">
        <f>18-8</f>
        <v>10</v>
      </c>
      <c r="T57" s="10">
        <f t="shared" si="37"/>
        <v>9</v>
      </c>
      <c r="U57" s="10">
        <f>18-13</f>
        <v>5</v>
      </c>
      <c r="V57" s="10">
        <v>0</v>
      </c>
      <c r="W57" s="10">
        <f t="shared" si="38"/>
        <v>7</v>
      </c>
      <c r="X57" s="10">
        <f>SUM(Q57:W57)</f>
        <v>40</v>
      </c>
      <c r="Y57" s="10">
        <v>40</v>
      </c>
      <c r="Z57" s="10">
        <f>X57-Y57</f>
        <v>0</v>
      </c>
      <c r="AA57" s="10">
        <f>SUM(Z57)</f>
        <v>0</v>
      </c>
    </row>
    <row r="58" spans="1:32" thickTop="1" thickBot="1" x14ac:dyDescent="0.3">
      <c r="A58" s="10"/>
      <c r="B58" s="10">
        <v>35</v>
      </c>
      <c r="C58" s="10">
        <f t="shared" si="46"/>
        <v>8</v>
      </c>
      <c r="D58" s="10">
        <v>0</v>
      </c>
      <c r="E58" s="10">
        <f t="shared" si="44"/>
        <v>8</v>
      </c>
      <c r="F58" s="10">
        <f>16-9</f>
        <v>7</v>
      </c>
      <c r="G58" s="10">
        <f t="shared" si="47"/>
        <v>4</v>
      </c>
      <c r="H58" s="10">
        <v>0</v>
      </c>
      <c r="I58" s="10">
        <v>0</v>
      </c>
      <c r="J58" s="10">
        <f>SUM(C58:I58)</f>
        <v>27</v>
      </c>
      <c r="K58" s="10">
        <v>20</v>
      </c>
      <c r="L58" s="10">
        <f>J58-K58</f>
        <v>7</v>
      </c>
      <c r="M58" s="10">
        <f t="shared" si="45"/>
        <v>32.5</v>
      </c>
      <c r="N58" s="14"/>
      <c r="O58" s="10" t="s">
        <v>185</v>
      </c>
      <c r="P58" s="10">
        <v>23</v>
      </c>
      <c r="Q58" s="10">
        <f t="shared" si="39"/>
        <v>9</v>
      </c>
      <c r="R58" s="10">
        <v>0</v>
      </c>
      <c r="S58" s="10">
        <f t="shared" si="40"/>
        <v>10</v>
      </c>
      <c r="T58" s="10">
        <f t="shared" si="37"/>
        <v>9</v>
      </c>
      <c r="U58" s="10">
        <f t="shared" si="41"/>
        <v>5</v>
      </c>
      <c r="V58" s="10">
        <v>0</v>
      </c>
      <c r="W58" s="10">
        <f t="shared" si="38"/>
        <v>7</v>
      </c>
      <c r="X58" s="10">
        <f t="shared" ref="X58:X60" si="49">SUM(Q58:W58)</f>
        <v>40</v>
      </c>
      <c r="Y58" s="10">
        <v>40</v>
      </c>
      <c r="Z58" s="10">
        <f t="shared" ref="Z58:Z60" si="50">X58-Y58</f>
        <v>0</v>
      </c>
      <c r="AA58" s="10">
        <f>SUM(Z57:Z58)</f>
        <v>0</v>
      </c>
    </row>
    <row r="59" spans="1:32" thickTop="1" thickBot="1" x14ac:dyDescent="0.3">
      <c r="A59" s="10"/>
      <c r="B59" s="10"/>
      <c r="C59" s="10"/>
      <c r="D59" s="10"/>
      <c r="E59" s="10"/>
      <c r="F59" s="10"/>
      <c r="G59" s="10"/>
      <c r="H59" s="10"/>
      <c r="I59" s="10" t="s">
        <v>2</v>
      </c>
      <c r="J59" s="10">
        <f>SUM(J52:J58)</f>
        <v>172.5</v>
      </c>
      <c r="K59" s="10"/>
      <c r="L59" s="10"/>
      <c r="M59" s="10"/>
      <c r="N59" s="14"/>
      <c r="O59" s="10"/>
      <c r="P59" s="10">
        <v>24</v>
      </c>
      <c r="Q59" s="10">
        <f t="shared" si="40"/>
        <v>10</v>
      </c>
      <c r="R59" s="10">
        <f t="shared" si="40"/>
        <v>10</v>
      </c>
      <c r="S59" s="10">
        <f t="shared" si="40"/>
        <v>10</v>
      </c>
      <c r="T59" s="10">
        <f t="shared" si="40"/>
        <v>10</v>
      </c>
      <c r="U59" s="10">
        <f t="shared" si="40"/>
        <v>10</v>
      </c>
      <c r="V59" s="10">
        <f t="shared" si="40"/>
        <v>10</v>
      </c>
      <c r="W59" s="10">
        <f t="shared" si="40"/>
        <v>10</v>
      </c>
      <c r="X59" s="10">
        <f t="shared" si="49"/>
        <v>70</v>
      </c>
      <c r="Y59" s="10">
        <v>40</v>
      </c>
      <c r="Z59" s="10">
        <f t="shared" si="50"/>
        <v>30</v>
      </c>
      <c r="AA59" s="10">
        <f>SUM(Z57:Z59)</f>
        <v>30</v>
      </c>
    </row>
    <row r="60" spans="1:32" thickTop="1" thickBot="1" x14ac:dyDescent="0.3">
      <c r="A60" s="10"/>
      <c r="B60" s="10"/>
      <c r="C60" s="10"/>
      <c r="D60" s="10"/>
      <c r="E60" s="10"/>
      <c r="F60" s="10"/>
      <c r="G60" s="10"/>
      <c r="H60" s="10"/>
      <c r="I60" s="10" t="s">
        <v>3</v>
      </c>
      <c r="J60" s="10">
        <f>SUM(K52:K58)</f>
        <v>140</v>
      </c>
      <c r="K60" s="10"/>
      <c r="L60" s="10"/>
      <c r="M60" s="10"/>
      <c r="N60" s="14"/>
      <c r="O60" s="10" t="s">
        <v>186</v>
      </c>
      <c r="P60" s="10">
        <v>25</v>
      </c>
      <c r="Q60" s="10">
        <f t="shared" si="40"/>
        <v>10</v>
      </c>
      <c r="R60" s="10">
        <f t="shared" si="40"/>
        <v>10</v>
      </c>
      <c r="S60" s="10">
        <f t="shared" si="40"/>
        <v>10</v>
      </c>
      <c r="T60" s="10">
        <v>0</v>
      </c>
      <c r="U60" s="10">
        <v>0</v>
      </c>
      <c r="V60" s="10">
        <v>0</v>
      </c>
      <c r="W60" s="10">
        <v>0</v>
      </c>
      <c r="X60" s="10">
        <f t="shared" si="49"/>
        <v>30</v>
      </c>
      <c r="Y60" s="10">
        <v>40</v>
      </c>
      <c r="Z60" s="10">
        <f t="shared" si="50"/>
        <v>-10</v>
      </c>
      <c r="AA60" s="10">
        <f>SUM(Z57:Z60)</f>
        <v>20</v>
      </c>
    </row>
    <row r="61" spans="1:32" thickTop="1" thickBot="1" x14ac:dyDescent="0.3">
      <c r="A61" s="10"/>
      <c r="B61" s="10"/>
      <c r="C61" s="10"/>
      <c r="D61" s="10"/>
      <c r="E61" s="10"/>
      <c r="F61" s="10"/>
      <c r="G61" s="10"/>
      <c r="H61" s="10"/>
      <c r="I61" s="10" t="s">
        <v>0</v>
      </c>
      <c r="J61" s="10">
        <f>J59-J60</f>
        <v>32.5</v>
      </c>
      <c r="K61" s="10"/>
      <c r="L61" s="10"/>
      <c r="M61" s="10"/>
      <c r="N61" s="14"/>
      <c r="O61" s="10"/>
      <c r="P61" s="10"/>
      <c r="Q61" s="10"/>
      <c r="R61" s="10"/>
      <c r="S61" s="10"/>
      <c r="T61" s="10"/>
      <c r="U61" s="10"/>
      <c r="V61" s="10"/>
      <c r="W61" s="10" t="s">
        <v>2</v>
      </c>
      <c r="X61" s="10">
        <f>SUM(X52:X60)</f>
        <v>380</v>
      </c>
      <c r="Y61" s="10"/>
      <c r="Z61" s="10"/>
      <c r="AA61" s="10"/>
    </row>
    <row r="62" spans="1:32" thickTop="1" thickBot="1" x14ac:dyDescent="0.3">
      <c r="A62" s="10"/>
      <c r="B62" s="10"/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4"/>
      <c r="O62" s="10"/>
      <c r="P62" s="10"/>
      <c r="Q62" s="10"/>
      <c r="R62" s="10"/>
      <c r="S62" s="10"/>
      <c r="T62" s="10"/>
      <c r="U62" s="10"/>
      <c r="V62" s="10"/>
      <c r="W62" s="10" t="s">
        <v>3</v>
      </c>
      <c r="X62" s="10">
        <f>SUM(Y52:Y61)</f>
        <v>360</v>
      </c>
      <c r="Y62" s="10"/>
      <c r="Z62" s="10"/>
      <c r="AA62" s="10"/>
    </row>
    <row r="63" spans="1:32" thickTop="1" thickBot="1" x14ac:dyDescent="0.3">
      <c r="A63" s="10"/>
      <c r="B63" s="10"/>
      <c r="C63" s="10"/>
      <c r="D63" s="10"/>
      <c r="E63" s="10"/>
      <c r="F63" s="25"/>
      <c r="G63" s="25"/>
      <c r="H63" s="10"/>
      <c r="I63" s="10"/>
      <c r="J63" s="10"/>
      <c r="K63" s="10"/>
      <c r="L63" s="10"/>
      <c r="M63" s="10"/>
      <c r="N63" s="14"/>
      <c r="O63" s="10"/>
      <c r="P63" s="10"/>
      <c r="Q63" s="10"/>
      <c r="R63" s="10"/>
      <c r="S63" s="10"/>
      <c r="T63" s="10"/>
      <c r="U63" s="10"/>
      <c r="V63" s="10"/>
      <c r="W63" s="10" t="s">
        <v>0</v>
      </c>
      <c r="X63" s="10">
        <f>X61-X62</f>
        <v>20</v>
      </c>
      <c r="Y63" s="10"/>
      <c r="Z63" s="10"/>
      <c r="AA63" s="10"/>
    </row>
    <row r="64" spans="1:32" thickTop="1" thickBot="1" x14ac:dyDescent="0.3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4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</row>
    <row r="65" spans="1:27" thickTop="1" thickBot="1" x14ac:dyDescent="0.3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4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F522D-2B29-4A6C-BD99-76EABE0EE3C8}">
  <dimension ref="A1:AD80"/>
  <sheetViews>
    <sheetView zoomScale="86" zoomScaleNormal="86" workbookViewId="0">
      <pane xSplit="1" ySplit="3" topLeftCell="B51" activePane="bottomRight" state="frozen"/>
      <selection pane="topRight" activeCell="B1" sqref="B1"/>
      <selection pane="bottomLeft" activeCell="A4" sqref="A4"/>
      <selection pane="bottomRight" activeCell="C8" sqref="C8"/>
    </sheetView>
  </sheetViews>
  <sheetFormatPr defaultRowHeight="15" x14ac:dyDescent="0.25"/>
  <cols>
    <col min="1" max="1" width="49" style="1" bestFit="1" customWidth="1"/>
    <col min="2" max="7" width="30.5703125" customWidth="1"/>
    <col min="8" max="8" width="30.7109375" customWidth="1"/>
    <col min="9" max="9" width="31.140625" customWidth="1"/>
    <col min="10" max="15" width="30.5703125" customWidth="1"/>
    <col min="16" max="16" width="10" bestFit="1" customWidth="1"/>
    <col min="17" max="17" width="12.140625" bestFit="1" customWidth="1"/>
    <col min="18" max="18" width="9.42578125" bestFit="1" customWidth="1"/>
    <col min="20" max="20" width="9.7109375" bestFit="1" customWidth="1"/>
    <col min="21" max="21" width="7.7109375" bestFit="1" customWidth="1"/>
    <col min="22" max="22" width="9.5703125" customWidth="1"/>
    <col min="23" max="23" width="8.7109375" bestFit="1" customWidth="1"/>
    <col min="24" max="24" width="9.7109375" bestFit="1" customWidth="1"/>
    <col min="25" max="25" width="13.28515625" bestFit="1" customWidth="1"/>
    <col min="26" max="26" width="26" bestFit="1" customWidth="1"/>
    <col min="27" max="27" width="9" bestFit="1" customWidth="1"/>
    <col min="28" max="28" width="21.7109375" bestFit="1" customWidth="1"/>
    <col min="29" max="29" width="26.42578125" bestFit="1" customWidth="1"/>
    <col min="30" max="30" width="12.140625" bestFit="1" customWidth="1"/>
    <col min="31" max="31" width="13.28515625" bestFit="1" customWidth="1"/>
  </cols>
  <sheetData>
    <row r="1" spans="1:30" s="9" customFormat="1" ht="15.75" thickBot="1" x14ac:dyDescent="0.3">
      <c r="A1" s="7" t="s">
        <v>4</v>
      </c>
      <c r="B1" s="9" t="s">
        <v>154</v>
      </c>
      <c r="H1" s="8" t="s">
        <v>115</v>
      </c>
      <c r="I1" s="8" t="s">
        <v>140</v>
      </c>
      <c r="P1" s="8"/>
      <c r="Q1" s="8"/>
      <c r="R1" s="8"/>
      <c r="S1" s="8"/>
      <c r="T1" s="8"/>
      <c r="U1" s="8"/>
      <c r="V1" s="8"/>
      <c r="W1" s="8"/>
      <c r="X1" s="8"/>
      <c r="Y1" s="8"/>
      <c r="Z1" s="8"/>
      <c r="AA1" s="8"/>
      <c r="AB1" s="8"/>
      <c r="AC1" s="8"/>
    </row>
    <row r="2" spans="1:30" s="10" customFormat="1" ht="148.15" customHeight="1" thickBot="1" x14ac:dyDescent="0.3">
      <c r="A2" s="1" t="s">
        <v>5</v>
      </c>
      <c r="B2" s="10" t="s">
        <v>155</v>
      </c>
      <c r="H2" s="2" t="s">
        <v>116</v>
      </c>
      <c r="I2" s="2" t="s">
        <v>141</v>
      </c>
      <c r="P2" s="2"/>
      <c r="Q2" s="2"/>
      <c r="R2" s="2"/>
      <c r="S2" s="2"/>
      <c r="T2" s="2"/>
      <c r="U2" s="3"/>
      <c r="V2" s="3"/>
      <c r="W2" s="3"/>
      <c r="X2" s="3"/>
      <c r="Y2" s="3"/>
      <c r="Z2" s="3"/>
      <c r="AA2" s="3"/>
      <c r="AB2" s="3"/>
      <c r="AC2" s="3"/>
      <c r="AD2" s="3"/>
    </row>
    <row r="3" spans="1:30" s="5" customFormat="1" ht="3.4" customHeight="1" thickBot="1" x14ac:dyDescent="0.3">
      <c r="A3" s="4"/>
    </row>
    <row r="4" spans="1:30" s="21" customFormat="1" ht="16.5" thickTop="1" thickBot="1" x14ac:dyDescent="0.3">
      <c r="A4" s="14" t="s">
        <v>88</v>
      </c>
    </row>
    <row r="5" spans="1:30" s="10" customFormat="1" ht="30.75" thickTop="1" x14ac:dyDescent="0.25">
      <c r="A5" s="6" t="s">
        <v>142</v>
      </c>
      <c r="B5" s="10" t="s">
        <v>163</v>
      </c>
      <c r="C5" s="10" t="s">
        <v>164</v>
      </c>
      <c r="D5" s="10" t="s">
        <v>143</v>
      </c>
      <c r="E5" s="10" t="s">
        <v>144</v>
      </c>
      <c r="F5" s="10" t="s">
        <v>145</v>
      </c>
    </row>
    <row r="6" spans="1:30" s="10" customFormat="1" ht="135" x14ac:dyDescent="0.25">
      <c r="A6" s="1" t="s">
        <v>146</v>
      </c>
      <c r="B6" s="10" t="s">
        <v>157</v>
      </c>
    </row>
    <row r="7" spans="1:30" s="10" customFormat="1" ht="90" x14ac:dyDescent="0.25">
      <c r="A7" s="1" t="s">
        <v>158</v>
      </c>
      <c r="B7" s="10" t="s">
        <v>156</v>
      </c>
    </row>
    <row r="8" spans="1:30" s="10" customFormat="1" ht="60" x14ac:dyDescent="0.25">
      <c r="A8" s="1" t="s">
        <v>159</v>
      </c>
      <c r="B8" s="10" t="s">
        <v>160</v>
      </c>
    </row>
    <row r="9" spans="1:30" s="10" customFormat="1" x14ac:dyDescent="0.25">
      <c r="A9" s="1" t="s">
        <v>147</v>
      </c>
    </row>
    <row r="10" spans="1:30" s="10" customFormat="1" x14ac:dyDescent="0.25">
      <c r="A10" s="1" t="s">
        <v>148</v>
      </c>
    </row>
    <row r="11" spans="1:30" s="10" customFormat="1" x14ac:dyDescent="0.25">
      <c r="A11" s="1" t="s">
        <v>149</v>
      </c>
    </row>
    <row r="12" spans="1:30" s="10" customFormat="1" x14ac:dyDescent="0.25">
      <c r="A12" s="1" t="s">
        <v>150</v>
      </c>
    </row>
    <row r="13" spans="1:30" s="10" customFormat="1" x14ac:dyDescent="0.25">
      <c r="A13" s="1" t="s">
        <v>151</v>
      </c>
    </row>
    <row r="14" spans="1:30" s="10" customFormat="1" x14ac:dyDescent="0.25">
      <c r="A14" s="1" t="s">
        <v>152</v>
      </c>
    </row>
    <row r="15" spans="1:30" s="10" customFormat="1" ht="120" x14ac:dyDescent="0.25">
      <c r="A15" s="1" t="s">
        <v>161</v>
      </c>
      <c r="B15" s="10" t="s">
        <v>162</v>
      </c>
    </row>
    <row r="16" spans="1:30" s="10" customFormat="1" ht="45" x14ac:dyDescent="0.25">
      <c r="A16" s="1" t="s">
        <v>153</v>
      </c>
      <c r="B16" s="10" t="s">
        <v>167</v>
      </c>
    </row>
    <row r="17" spans="1:2" s="10" customFormat="1" ht="45" x14ac:dyDescent="0.25">
      <c r="A17" s="1" t="s">
        <v>165</v>
      </c>
      <c r="B17" s="10" t="s">
        <v>167</v>
      </c>
    </row>
    <row r="18" spans="1:2" s="10" customFormat="1" ht="30" x14ac:dyDescent="0.25">
      <c r="A18" s="1" t="s">
        <v>166</v>
      </c>
      <c r="B18" s="10" t="s">
        <v>168</v>
      </c>
    </row>
    <row r="19" spans="1:2" s="10" customFormat="1" x14ac:dyDescent="0.25">
      <c r="A19" s="1"/>
    </row>
    <row r="20" spans="1:2" s="10" customFormat="1" x14ac:dyDescent="0.25">
      <c r="A20" s="1"/>
    </row>
    <row r="21" spans="1:2" s="10" customFormat="1" x14ac:dyDescent="0.25">
      <c r="A21" s="1"/>
    </row>
    <row r="22" spans="1:2" s="10" customFormat="1" x14ac:dyDescent="0.25">
      <c r="A22" s="1"/>
    </row>
    <row r="23" spans="1:2" s="10" customFormat="1" x14ac:dyDescent="0.25">
      <c r="A23" s="1"/>
    </row>
    <row r="24" spans="1:2" s="10" customFormat="1" x14ac:dyDescent="0.25">
      <c r="A24" s="6"/>
    </row>
    <row r="26" spans="1:2" x14ac:dyDescent="0.25">
      <c r="A26" s="16" t="s">
        <v>90</v>
      </c>
    </row>
    <row r="27" spans="1:2" ht="15.75" thickBot="1" x14ac:dyDescent="0.3">
      <c r="A27" s="16" t="s">
        <v>91</v>
      </c>
    </row>
    <row r="28" spans="1:2" s="21" customFormat="1" ht="16.5" thickTop="1" thickBot="1" x14ac:dyDescent="0.3">
      <c r="A28" s="14" t="s">
        <v>89</v>
      </c>
    </row>
    <row r="29" spans="1:2" ht="15.75" thickTop="1" x14ac:dyDescent="0.25">
      <c r="A29" s="15" t="s">
        <v>92</v>
      </c>
    </row>
    <row r="30" spans="1:2" x14ac:dyDescent="0.25">
      <c r="A30" s="17" t="s">
        <v>93</v>
      </c>
    </row>
    <row r="31" spans="1:2" x14ac:dyDescent="0.25">
      <c r="A31" s="18" t="s">
        <v>94</v>
      </c>
    </row>
    <row r="32" spans="1:2" x14ac:dyDescent="0.25">
      <c r="A32" s="19" t="s">
        <v>95</v>
      </c>
    </row>
    <row r="33" spans="1:9" x14ac:dyDescent="0.25">
      <c r="A33" s="20" t="s">
        <v>96</v>
      </c>
    </row>
    <row r="35" spans="1:9" ht="60" x14ac:dyDescent="0.25">
      <c r="A35" s="1" t="s">
        <v>139</v>
      </c>
      <c r="I35" t="s">
        <v>140</v>
      </c>
    </row>
    <row r="40" spans="1:9" x14ac:dyDescent="0.25">
      <c r="A40" s="6"/>
    </row>
    <row r="46" spans="1:9" x14ac:dyDescent="0.25">
      <c r="A46" s="6"/>
    </row>
    <row r="62" spans="1:1" x14ac:dyDescent="0.25">
      <c r="A62" s="6"/>
    </row>
    <row r="68" spans="1:8" ht="15.75" thickBot="1" x14ac:dyDescent="0.3"/>
    <row r="69" spans="1:8" s="21" customFormat="1" ht="76.5" thickTop="1" thickBot="1" x14ac:dyDescent="0.3">
      <c r="A69" s="14" t="s">
        <v>97</v>
      </c>
      <c r="H69" s="14" t="s">
        <v>117</v>
      </c>
    </row>
    <row r="70" spans="1:8" ht="30.75" thickTop="1" x14ac:dyDescent="0.25">
      <c r="A70" s="22" t="s">
        <v>103</v>
      </c>
      <c r="H70" s="10" t="s">
        <v>120</v>
      </c>
    </row>
    <row r="71" spans="1:8" ht="30" x14ac:dyDescent="0.25">
      <c r="A71" s="22" t="s">
        <v>118</v>
      </c>
      <c r="H71" s="10" t="s">
        <v>120</v>
      </c>
    </row>
    <row r="72" spans="1:8" ht="30" x14ac:dyDescent="0.25">
      <c r="A72" s="22" t="s">
        <v>119</v>
      </c>
      <c r="H72" s="10" t="s">
        <v>120</v>
      </c>
    </row>
    <row r="73" spans="1:8" ht="15.75" thickBot="1" x14ac:dyDescent="0.3">
      <c r="A73" s="22"/>
      <c r="H73" s="10"/>
    </row>
    <row r="74" spans="1:8" s="21" customFormat="1" ht="16.5" thickTop="1" thickBot="1" x14ac:dyDescent="0.3">
      <c r="A74" s="14" t="s">
        <v>98</v>
      </c>
      <c r="H74" s="14"/>
    </row>
    <row r="75" spans="1:8" ht="16.5" thickTop="1" thickBot="1" x14ac:dyDescent="0.3">
      <c r="A75" s="23" t="s">
        <v>104</v>
      </c>
      <c r="H75" s="10"/>
    </row>
    <row r="76" spans="1:8" s="21" customFormat="1" ht="16.5" thickTop="1" thickBot="1" x14ac:dyDescent="0.3">
      <c r="A76" s="14" t="s">
        <v>99</v>
      </c>
      <c r="H76" s="14"/>
    </row>
    <row r="77" spans="1:8" s="21" customFormat="1" ht="16.5" thickTop="1" thickBot="1" x14ac:dyDescent="0.3">
      <c r="A77" s="14" t="s">
        <v>100</v>
      </c>
      <c r="H77" s="14"/>
    </row>
    <row r="78" spans="1:8" s="21" customFormat="1" ht="16.5" thickTop="1" thickBot="1" x14ac:dyDescent="0.3">
      <c r="A78" s="14" t="s">
        <v>101</v>
      </c>
      <c r="H78" s="14"/>
    </row>
    <row r="79" spans="1:8" s="21" customFormat="1" ht="16.5" thickTop="1" thickBot="1" x14ac:dyDescent="0.3">
      <c r="A79" s="14" t="s">
        <v>102</v>
      </c>
      <c r="H79" s="14"/>
    </row>
    <row r="80" spans="1:8" ht="15.75" thickTop="1" x14ac:dyDescent="0.25"/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A56522-8C4D-4E11-A039-F570EF74FF3E}">
  <dimension ref="A1:T45"/>
  <sheetViews>
    <sheetView topLeftCell="C6" zoomScaleNormal="100" workbookViewId="0">
      <selection activeCell="M9" sqref="M9"/>
    </sheetView>
  </sheetViews>
  <sheetFormatPr defaultColWidth="9" defaultRowHeight="15" x14ac:dyDescent="0.25"/>
  <cols>
    <col min="1" max="1" width="30.42578125" style="11" customWidth="1"/>
    <col min="2" max="2" width="51.85546875" style="11" customWidth="1"/>
    <col min="3" max="3" width="62.85546875" style="11" customWidth="1"/>
    <col min="4" max="4" width="50.28515625" style="11" customWidth="1"/>
    <col min="5" max="5" width="48.42578125" style="11" customWidth="1"/>
    <col min="6" max="7" width="9" style="11"/>
    <col min="8" max="8" width="52.140625" style="11" customWidth="1"/>
    <col min="9" max="9" width="28.7109375" style="11" customWidth="1"/>
    <col min="10" max="10" width="23" style="11" customWidth="1"/>
    <col min="11" max="11" width="35.85546875" style="11" customWidth="1"/>
    <col min="12" max="12" width="96" style="11" customWidth="1"/>
    <col min="13" max="13" width="72" style="11" customWidth="1"/>
    <col min="14" max="16384" width="9" style="11"/>
  </cols>
  <sheetData>
    <row r="1" spans="1:11" ht="60" x14ac:dyDescent="0.25">
      <c r="A1" s="11" t="s">
        <v>26</v>
      </c>
    </row>
    <row r="2" spans="1:11" x14ac:dyDescent="0.25">
      <c r="A2" s="11" t="s">
        <v>43</v>
      </c>
      <c r="B2" s="11" t="s">
        <v>30</v>
      </c>
      <c r="C2" s="11" t="s">
        <v>29</v>
      </c>
      <c r="J2" s="11" t="s">
        <v>30</v>
      </c>
      <c r="K2" s="11" t="s">
        <v>29</v>
      </c>
    </row>
    <row r="3" spans="1:11" ht="45" x14ac:dyDescent="0.25">
      <c r="A3" s="11" t="s">
        <v>44</v>
      </c>
      <c r="B3" s="11" t="s">
        <v>28</v>
      </c>
      <c r="C3" s="10" t="s">
        <v>71</v>
      </c>
      <c r="D3" s="11" t="s">
        <v>86</v>
      </c>
      <c r="H3" s="11" t="s">
        <v>35</v>
      </c>
      <c r="I3" s="11" t="s">
        <v>33</v>
      </c>
      <c r="J3" s="11" t="s">
        <v>31</v>
      </c>
    </row>
    <row r="4" spans="1:11" x14ac:dyDescent="0.25">
      <c r="A4" s="11" t="s">
        <v>45</v>
      </c>
      <c r="B4" s="11" t="s">
        <v>27</v>
      </c>
      <c r="C4" s="11" t="s">
        <v>70</v>
      </c>
      <c r="H4" s="11" t="s">
        <v>36</v>
      </c>
      <c r="I4" s="11" t="s">
        <v>34</v>
      </c>
      <c r="J4" s="11" t="s">
        <v>32</v>
      </c>
    </row>
    <row r="5" spans="1:11" x14ac:dyDescent="0.25">
      <c r="A5" s="11" t="s">
        <v>16</v>
      </c>
      <c r="B5" s="11">
        <v>2009</v>
      </c>
      <c r="C5" s="11">
        <v>2012</v>
      </c>
      <c r="D5" s="11">
        <v>2019</v>
      </c>
      <c r="H5" s="11">
        <v>2020</v>
      </c>
      <c r="I5" s="11">
        <v>2021</v>
      </c>
      <c r="J5" s="11">
        <v>2022</v>
      </c>
    </row>
    <row r="6" spans="1:11" ht="75" x14ac:dyDescent="0.25">
      <c r="A6" s="11" t="s">
        <v>46</v>
      </c>
      <c r="B6" s="11" t="s">
        <v>72</v>
      </c>
      <c r="C6" s="11" t="s">
        <v>73</v>
      </c>
      <c r="D6" s="11" t="s">
        <v>87</v>
      </c>
    </row>
    <row r="7" spans="1:11" ht="75" x14ac:dyDescent="0.25">
      <c r="A7" s="11" t="s">
        <v>53</v>
      </c>
      <c r="B7" s="11" t="s">
        <v>66</v>
      </c>
      <c r="C7" s="11" t="s">
        <v>74</v>
      </c>
    </row>
    <row r="8" spans="1:11" ht="105" x14ac:dyDescent="0.25">
      <c r="A8" s="11" t="s">
        <v>75</v>
      </c>
      <c r="C8" s="11" t="s">
        <v>76</v>
      </c>
    </row>
    <row r="9" spans="1:11" ht="222.4" customHeight="1" x14ac:dyDescent="0.25">
      <c r="A9" s="12" t="s">
        <v>37</v>
      </c>
    </row>
    <row r="10" spans="1:11" ht="135" customHeight="1" x14ac:dyDescent="0.25">
      <c r="A10" s="11" t="s">
        <v>38</v>
      </c>
    </row>
    <row r="11" spans="1:11" x14ac:dyDescent="0.25">
      <c r="A11" s="11" t="s">
        <v>19</v>
      </c>
      <c r="B11" s="11" t="s">
        <v>56</v>
      </c>
      <c r="C11" s="11">
        <v>2.5</v>
      </c>
    </row>
    <row r="12" spans="1:11" x14ac:dyDescent="0.25">
      <c r="A12" s="11" t="s">
        <v>20</v>
      </c>
      <c r="B12" s="11" t="s">
        <v>55</v>
      </c>
      <c r="C12" s="11">
        <v>10</v>
      </c>
    </row>
    <row r="13" spans="1:11" x14ac:dyDescent="0.25">
      <c r="A13" s="11" t="s">
        <v>21</v>
      </c>
      <c r="B13" s="11" t="s">
        <v>54</v>
      </c>
      <c r="C13" s="11">
        <v>0.5</v>
      </c>
    </row>
    <row r="14" spans="1:11" x14ac:dyDescent="0.25">
      <c r="A14" s="11" t="s">
        <v>57</v>
      </c>
      <c r="B14" s="11" t="s">
        <v>58</v>
      </c>
    </row>
    <row r="15" spans="1:11" x14ac:dyDescent="0.25">
      <c r="A15" s="11" t="s">
        <v>59</v>
      </c>
      <c r="B15" s="11" t="s">
        <v>60</v>
      </c>
    </row>
    <row r="16" spans="1:11" x14ac:dyDescent="0.25">
      <c r="A16" s="11" t="s">
        <v>61</v>
      </c>
      <c r="B16" s="11" t="s">
        <v>62</v>
      </c>
    </row>
    <row r="17" spans="1:3" x14ac:dyDescent="0.25">
      <c r="A17" s="11" t="s">
        <v>63</v>
      </c>
      <c r="B17" s="11">
        <v>400</v>
      </c>
    </row>
    <row r="18" spans="1:3" ht="30" x14ac:dyDescent="0.25">
      <c r="A18" s="11" t="s">
        <v>67</v>
      </c>
      <c r="B18" s="11" t="s">
        <v>68</v>
      </c>
    </row>
    <row r="19" spans="1:3" x14ac:dyDescent="0.25">
      <c r="A19" s="11" t="s">
        <v>17</v>
      </c>
    </row>
    <row r="20" spans="1:3" x14ac:dyDescent="0.25">
      <c r="A20" s="11" t="s">
        <v>18</v>
      </c>
    </row>
    <row r="21" spans="1:3" x14ac:dyDescent="0.25">
      <c r="A21" s="11" t="s">
        <v>24</v>
      </c>
      <c r="C21" s="11" t="s">
        <v>77</v>
      </c>
    </row>
    <row r="22" spans="1:3" x14ac:dyDescent="0.25">
      <c r="A22" s="11" t="s">
        <v>69</v>
      </c>
      <c r="C22" s="11" t="s">
        <v>78</v>
      </c>
    </row>
    <row r="23" spans="1:3" x14ac:dyDescent="0.25">
      <c r="A23" s="11" t="s">
        <v>47</v>
      </c>
      <c r="C23" s="11" t="s">
        <v>79</v>
      </c>
    </row>
    <row r="24" spans="1:3" x14ac:dyDescent="0.25">
      <c r="A24" s="11" t="s">
        <v>22</v>
      </c>
      <c r="C24" s="11">
        <v>0</v>
      </c>
    </row>
    <row r="25" spans="1:3" x14ac:dyDescent="0.25">
      <c r="A25" s="11" t="s">
        <v>65</v>
      </c>
      <c r="B25" s="11">
        <v>0.95</v>
      </c>
    </row>
    <row r="26" spans="1:3" x14ac:dyDescent="0.25">
      <c r="A26" s="11" t="s">
        <v>48</v>
      </c>
    </row>
    <row r="27" spans="1:3" x14ac:dyDescent="0.25">
      <c r="A27" s="11" t="s">
        <v>23</v>
      </c>
    </row>
    <row r="28" spans="1:3" x14ac:dyDescent="0.25">
      <c r="A28" s="11" t="s">
        <v>49</v>
      </c>
    </row>
    <row r="29" spans="1:3" x14ac:dyDescent="0.25">
      <c r="A29" s="11" t="s">
        <v>39</v>
      </c>
    </row>
    <row r="30" spans="1:3" x14ac:dyDescent="0.25">
      <c r="A30" s="11" t="s">
        <v>40</v>
      </c>
    </row>
    <row r="31" spans="1:3" x14ac:dyDescent="0.25">
      <c r="A31" s="11" t="s">
        <v>51</v>
      </c>
    </row>
    <row r="32" spans="1:3" x14ac:dyDescent="0.25">
      <c r="A32" s="11" t="s">
        <v>41</v>
      </c>
    </row>
    <row r="33" spans="1:20" x14ac:dyDescent="0.25">
      <c r="A33" s="11" t="s">
        <v>42</v>
      </c>
    </row>
    <row r="34" spans="1:20" x14ac:dyDescent="0.25">
      <c r="A34" s="11" t="s">
        <v>25</v>
      </c>
    </row>
    <row r="35" spans="1:20" x14ac:dyDescent="0.25">
      <c r="A35" s="11" t="s">
        <v>50</v>
      </c>
      <c r="B35" s="11" t="s">
        <v>52</v>
      </c>
    </row>
    <row r="36" spans="1:20" x14ac:dyDescent="0.25">
      <c r="B36" s="11" t="s">
        <v>64</v>
      </c>
    </row>
    <row r="40" spans="1:20" ht="15.75" x14ac:dyDescent="0.25">
      <c r="B40" s="13"/>
      <c r="C40" s="13"/>
      <c r="D40" s="13"/>
      <c r="E40" s="13"/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13"/>
      <c r="S40" s="13"/>
      <c r="T40" s="13"/>
    </row>
    <row r="45" spans="1:20" ht="15.75" x14ac:dyDescent="0.25">
      <c r="A45" s="13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607864-33AE-4FA0-9B3F-8BDCB7B8B2E8}">
  <dimension ref="A2:V45"/>
  <sheetViews>
    <sheetView zoomScale="58" zoomScaleNormal="58" workbookViewId="0">
      <selection activeCell="D2" sqref="D2"/>
    </sheetView>
  </sheetViews>
  <sheetFormatPr defaultColWidth="9" defaultRowHeight="15" x14ac:dyDescent="0.25"/>
  <cols>
    <col min="1" max="1" width="30.42578125" style="11" customWidth="1"/>
    <col min="2" max="2" width="51.85546875" style="11" customWidth="1"/>
    <col min="3" max="3" width="62.85546875" style="11" customWidth="1"/>
    <col min="4" max="4" width="42" style="11" customWidth="1"/>
    <col min="5" max="9" width="9" style="11"/>
    <col min="10" max="10" width="18.5703125" style="11" customWidth="1"/>
    <col min="11" max="11" width="28.7109375" style="11" customWidth="1"/>
    <col min="12" max="12" width="23" style="11" customWidth="1"/>
    <col min="13" max="16384" width="9" style="11"/>
  </cols>
  <sheetData>
    <row r="2" spans="1:12" x14ac:dyDescent="0.25">
      <c r="A2" s="11" t="s">
        <v>43</v>
      </c>
      <c r="B2" s="11" t="s">
        <v>30</v>
      </c>
      <c r="C2" s="11" t="s">
        <v>30</v>
      </c>
      <c r="L2" s="11" t="s">
        <v>30</v>
      </c>
    </row>
    <row r="3" spans="1:12" ht="45" x14ac:dyDescent="0.25">
      <c r="A3" s="11" t="s">
        <v>44</v>
      </c>
      <c r="B3" s="11" t="s">
        <v>28</v>
      </c>
      <c r="C3" s="10" t="s">
        <v>80</v>
      </c>
      <c r="D3" s="11" t="s">
        <v>85</v>
      </c>
      <c r="J3" s="11" t="s">
        <v>35</v>
      </c>
      <c r="K3" s="11" t="s">
        <v>33</v>
      </c>
      <c r="L3" s="11" t="s">
        <v>31</v>
      </c>
    </row>
    <row r="4" spans="1:12" ht="30" x14ac:dyDescent="0.25">
      <c r="A4" s="11" t="s">
        <v>45</v>
      </c>
      <c r="B4" s="11" t="s">
        <v>27</v>
      </c>
      <c r="C4" s="11" t="s">
        <v>81</v>
      </c>
      <c r="J4" s="11" t="s">
        <v>36</v>
      </c>
      <c r="K4" s="11" t="s">
        <v>34</v>
      </c>
      <c r="L4" s="11" t="s">
        <v>32</v>
      </c>
    </row>
    <row r="5" spans="1:12" x14ac:dyDescent="0.25">
      <c r="A5" s="11" t="s">
        <v>16</v>
      </c>
      <c r="B5" s="11">
        <v>2009</v>
      </c>
      <c r="C5" s="11">
        <v>2012</v>
      </c>
      <c r="D5" s="11">
        <v>2013</v>
      </c>
      <c r="E5" s="11">
        <v>2018</v>
      </c>
      <c r="J5" s="11">
        <v>2020</v>
      </c>
      <c r="K5" s="11">
        <v>2021</v>
      </c>
      <c r="L5" s="11">
        <v>2022</v>
      </c>
    </row>
    <row r="6" spans="1:12" ht="75" x14ac:dyDescent="0.25">
      <c r="A6" s="11" t="s">
        <v>46</v>
      </c>
      <c r="B6" s="11" t="s">
        <v>72</v>
      </c>
      <c r="C6" s="11" t="s">
        <v>82</v>
      </c>
      <c r="D6" s="11" t="s">
        <v>84</v>
      </c>
    </row>
    <row r="7" spans="1:12" ht="60" x14ac:dyDescent="0.25">
      <c r="A7" s="11" t="s">
        <v>53</v>
      </c>
      <c r="B7" s="11" t="s">
        <v>66</v>
      </c>
      <c r="C7" s="11" t="s">
        <v>83</v>
      </c>
    </row>
    <row r="8" spans="1:12" x14ac:dyDescent="0.25">
      <c r="A8" s="11" t="s">
        <v>75</v>
      </c>
    </row>
    <row r="9" spans="1:12" ht="222.4" customHeight="1" x14ac:dyDescent="0.25">
      <c r="A9" s="12" t="s">
        <v>37</v>
      </c>
    </row>
    <row r="10" spans="1:12" ht="135" customHeight="1" x14ac:dyDescent="0.25">
      <c r="A10" s="11" t="s">
        <v>38</v>
      </c>
    </row>
    <row r="11" spans="1:12" x14ac:dyDescent="0.25">
      <c r="A11" s="11" t="s">
        <v>19</v>
      </c>
      <c r="B11" s="11" t="s">
        <v>56</v>
      </c>
    </row>
    <row r="12" spans="1:12" x14ac:dyDescent="0.25">
      <c r="A12" s="11" t="s">
        <v>20</v>
      </c>
      <c r="B12" s="11" t="s">
        <v>55</v>
      </c>
    </row>
    <row r="13" spans="1:12" x14ac:dyDescent="0.25">
      <c r="A13" s="11" t="s">
        <v>21</v>
      </c>
      <c r="B13" s="11" t="s">
        <v>54</v>
      </c>
    </row>
    <row r="14" spans="1:12" x14ac:dyDescent="0.25">
      <c r="A14" s="11" t="s">
        <v>57</v>
      </c>
      <c r="B14" s="11" t="s">
        <v>58</v>
      </c>
    </row>
    <row r="15" spans="1:12" x14ac:dyDescent="0.25">
      <c r="A15" s="11" t="s">
        <v>59</v>
      </c>
      <c r="B15" s="11" t="s">
        <v>60</v>
      </c>
    </row>
    <row r="16" spans="1:12" x14ac:dyDescent="0.25">
      <c r="A16" s="11" t="s">
        <v>61</v>
      </c>
      <c r="B16" s="11" t="s">
        <v>62</v>
      </c>
    </row>
    <row r="17" spans="1:2" x14ac:dyDescent="0.25">
      <c r="A17" s="11" t="s">
        <v>63</v>
      </c>
      <c r="B17" s="11">
        <v>400</v>
      </c>
    </row>
    <row r="18" spans="1:2" ht="30" x14ac:dyDescent="0.25">
      <c r="A18" s="11" t="s">
        <v>67</v>
      </c>
      <c r="B18" s="11" t="s">
        <v>68</v>
      </c>
    </row>
    <row r="19" spans="1:2" x14ac:dyDescent="0.25">
      <c r="A19" s="11" t="s">
        <v>17</v>
      </c>
    </row>
    <row r="20" spans="1:2" x14ac:dyDescent="0.25">
      <c r="A20" s="11" t="s">
        <v>18</v>
      </c>
    </row>
    <row r="21" spans="1:2" x14ac:dyDescent="0.25">
      <c r="A21" s="11" t="s">
        <v>24</v>
      </c>
    </row>
    <row r="22" spans="1:2" x14ac:dyDescent="0.25">
      <c r="A22" s="11" t="s">
        <v>69</v>
      </c>
    </row>
    <row r="23" spans="1:2" x14ac:dyDescent="0.25">
      <c r="A23" s="11" t="s">
        <v>47</v>
      </c>
    </row>
    <row r="24" spans="1:2" x14ac:dyDescent="0.25">
      <c r="A24" s="11" t="s">
        <v>22</v>
      </c>
    </row>
    <row r="25" spans="1:2" x14ac:dyDescent="0.25">
      <c r="A25" s="11" t="s">
        <v>65</v>
      </c>
      <c r="B25" s="11">
        <v>0.95</v>
      </c>
    </row>
    <row r="26" spans="1:2" x14ac:dyDescent="0.25">
      <c r="A26" s="11" t="s">
        <v>48</v>
      </c>
    </row>
    <row r="27" spans="1:2" x14ac:dyDescent="0.25">
      <c r="A27" s="11" t="s">
        <v>23</v>
      </c>
    </row>
    <row r="28" spans="1:2" x14ac:dyDescent="0.25">
      <c r="A28" s="11" t="s">
        <v>49</v>
      </c>
    </row>
    <row r="29" spans="1:2" x14ac:dyDescent="0.25">
      <c r="A29" s="11" t="s">
        <v>39</v>
      </c>
    </row>
    <row r="30" spans="1:2" x14ac:dyDescent="0.25">
      <c r="A30" s="11" t="s">
        <v>40</v>
      </c>
    </row>
    <row r="31" spans="1:2" x14ac:dyDescent="0.25">
      <c r="A31" s="11" t="s">
        <v>51</v>
      </c>
    </row>
    <row r="32" spans="1:2" x14ac:dyDescent="0.25">
      <c r="A32" s="11" t="s">
        <v>41</v>
      </c>
    </row>
    <row r="33" spans="1:22" x14ac:dyDescent="0.25">
      <c r="A33" s="11" t="s">
        <v>42</v>
      </c>
    </row>
    <row r="34" spans="1:22" x14ac:dyDescent="0.25">
      <c r="A34" s="11" t="s">
        <v>25</v>
      </c>
    </row>
    <row r="35" spans="1:22" x14ac:dyDescent="0.25">
      <c r="A35" s="11" t="s">
        <v>50</v>
      </c>
      <c r="B35" s="11" t="s">
        <v>52</v>
      </c>
    </row>
    <row r="36" spans="1:22" x14ac:dyDescent="0.25">
      <c r="B36" s="11" t="s">
        <v>64</v>
      </c>
    </row>
    <row r="40" spans="1:22" ht="15.75" x14ac:dyDescent="0.25">
      <c r="B40" s="13"/>
      <c r="C40" s="13"/>
      <c r="D40" s="13"/>
      <c r="E40" s="13"/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13"/>
      <c r="S40" s="13"/>
      <c r="T40" s="13"/>
      <c r="U40" s="13"/>
      <c r="V40" s="13"/>
    </row>
    <row r="45" spans="1:22" ht="15.75" x14ac:dyDescent="0.25">
      <c r="A45" s="13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6AFCE2-D965-457C-B13E-FF82CF73A7F0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BF240C-EBDB-4B1A-9033-6555CD8D6DAE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9BAD57-077F-45DD-B9F2-F86302B282D3}">
  <dimension ref="A1:J5"/>
  <sheetViews>
    <sheetView workbookViewId="0">
      <selection activeCell="D2" sqref="D2"/>
    </sheetView>
  </sheetViews>
  <sheetFormatPr defaultRowHeight="15" x14ac:dyDescent="0.25"/>
  <cols>
    <col min="1" max="1" width="11.28515625" bestFit="1" customWidth="1"/>
    <col min="2" max="2" width="35.140625" bestFit="1" customWidth="1"/>
    <col min="3" max="3" width="11.28515625" customWidth="1"/>
    <col min="4" max="4" width="20" bestFit="1" customWidth="1"/>
    <col min="5" max="5" width="20" customWidth="1"/>
    <col min="6" max="6" width="17.5703125" bestFit="1" customWidth="1"/>
    <col min="7" max="7" width="17.5703125" customWidth="1"/>
    <col min="8" max="8" width="18.28515625" bestFit="1" customWidth="1"/>
    <col min="9" max="9" width="18.28515625" customWidth="1"/>
    <col min="10" max="10" width="10.85546875" bestFit="1" customWidth="1"/>
  </cols>
  <sheetData>
    <row r="1" spans="1:10" x14ac:dyDescent="0.25">
      <c r="D1" t="s">
        <v>173</v>
      </c>
    </row>
    <row r="2" spans="1:10" x14ac:dyDescent="0.25">
      <c r="B2" t="s">
        <v>179</v>
      </c>
      <c r="C2" t="s">
        <v>177</v>
      </c>
      <c r="D2" t="s">
        <v>169</v>
      </c>
      <c r="E2" t="s">
        <v>177</v>
      </c>
      <c r="F2" t="s">
        <v>171</v>
      </c>
      <c r="G2" t="s">
        <v>177</v>
      </c>
      <c r="H2" t="s">
        <v>172</v>
      </c>
      <c r="J2" t="s">
        <v>176</v>
      </c>
    </row>
    <row r="3" spans="1:10" x14ac:dyDescent="0.25">
      <c r="A3" t="s">
        <v>174</v>
      </c>
      <c r="D3">
        <v>1</v>
      </c>
      <c r="E3" t="s">
        <v>178</v>
      </c>
      <c r="F3">
        <v>1</v>
      </c>
      <c r="G3" t="s">
        <v>178</v>
      </c>
    </row>
    <row r="4" spans="1:10" x14ac:dyDescent="0.25">
      <c r="A4" t="s">
        <v>175</v>
      </c>
      <c r="D4">
        <v>11.9</v>
      </c>
      <c r="E4" t="s">
        <v>178</v>
      </c>
      <c r="F4">
        <v>1</v>
      </c>
      <c r="G4" t="s">
        <v>178</v>
      </c>
    </row>
    <row r="5" spans="1:10" x14ac:dyDescent="0.25">
      <c r="A5" t="s">
        <v>170</v>
      </c>
    </row>
  </sheetData>
  <pageMargins left="0.7" right="0.7" top="0.75" bottom="0.75" header="0.3" footer="0.3"/>
</worksheet>
</file>

<file path=docMetadata/LabelInfo.xml><?xml version="1.0" encoding="utf-8"?>
<clbl:labelList xmlns:clbl="http://schemas.microsoft.com/office/2020/mipLabelMetadata">
  <clbl:label id="{6a2630e2-1ac5-455e-8217-0156b1936a76}" enabled="1" method="Standard" siteId="{a3927f91-cda1-4696-af89-8c9f1ceffa91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Hour_count</vt:lpstr>
      <vt:lpstr>References(theory)</vt:lpstr>
      <vt:lpstr>Experimental</vt:lpstr>
      <vt:lpstr>Theoretical</vt:lpstr>
      <vt:lpstr>Different qubits</vt:lpstr>
      <vt:lpstr>Graph of Fluxonium</vt:lpstr>
      <vt:lpstr>Material properties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Amalie Paulsen</dc:creator>
  <cp:lastModifiedBy>Amalie Paulsen</cp:lastModifiedBy>
  <dcterms:created xsi:type="dcterms:W3CDTF">2022-07-07T15:09:39Z</dcterms:created>
  <dcterms:modified xsi:type="dcterms:W3CDTF">2023-10-29T06:10:13Z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6a2630e2-1ac5-455e-8217-0156b1936a76_Enabled">
    <vt:lpwstr>true</vt:lpwstr>
  </property>
  <property fmtid="{D5CDD505-2E9C-101B-9397-08002B2CF9AE}" pid="3" name="MSIP_Label_6a2630e2-1ac5-455e-8217-0156b1936a76_SetDate">
    <vt:lpwstr>2023-05-06T09:23:32Z</vt:lpwstr>
  </property>
  <property fmtid="{D5CDD505-2E9C-101B-9397-08002B2CF9AE}" pid="4" name="MSIP_Label_6a2630e2-1ac5-455e-8217-0156b1936a76_Method">
    <vt:lpwstr>Standard</vt:lpwstr>
  </property>
  <property fmtid="{D5CDD505-2E9C-101B-9397-08002B2CF9AE}" pid="5" name="MSIP_Label_6a2630e2-1ac5-455e-8217-0156b1936a76_Name">
    <vt:lpwstr>Notclass</vt:lpwstr>
  </property>
  <property fmtid="{D5CDD505-2E9C-101B-9397-08002B2CF9AE}" pid="6" name="MSIP_Label_6a2630e2-1ac5-455e-8217-0156b1936a76_SiteId">
    <vt:lpwstr>a3927f91-cda1-4696-af89-8c9f1ceffa91</vt:lpwstr>
  </property>
  <property fmtid="{D5CDD505-2E9C-101B-9397-08002B2CF9AE}" pid="7" name="MSIP_Label_6a2630e2-1ac5-455e-8217-0156b1936a76_ActionId">
    <vt:lpwstr>b5f595bc-0f37-423c-b166-25bd4005439f</vt:lpwstr>
  </property>
  <property fmtid="{D5CDD505-2E9C-101B-9397-08002B2CF9AE}" pid="8" name="MSIP_Label_6a2630e2-1ac5-455e-8217-0156b1936a76_ContentBits">
    <vt:lpwstr>0</vt:lpwstr>
  </property>
</Properties>
</file>